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859" firstSheet="1" activeTab="1"/>
  </bookViews>
  <sheets>
    <sheet name="30.06.2014" sheetId="1" r:id="rId1"/>
    <sheet name="31.10.2016" sheetId="2" r:id="rId2"/>
    <sheet name="Лист2" sheetId="3" r:id="rId3"/>
    <sheet name="предвари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<sst xmlns="http://schemas.openxmlformats.org/spreadsheetml/2006/main" count="1108" uniqueCount="465">
  <si>
    <t>Площадь 25127,8 м2</t>
  </si>
  <si>
    <t>Поступило, руб.</t>
  </si>
  <si>
    <t>Израсходованно, руб.</t>
  </si>
  <si>
    <t>№п</t>
  </si>
  <si>
    <t>Запланированно, руб.</t>
  </si>
  <si>
    <t>Осталось, руб.</t>
  </si>
  <si>
    <t>Доходы:</t>
  </si>
  <si>
    <t>начисления за нежилые помещения, провайдеров и прочее</t>
  </si>
  <si>
    <t>возврат от поставщика</t>
  </si>
  <si>
    <t>Итого:</t>
  </si>
  <si>
    <t>Расходы:</t>
  </si>
  <si>
    <t>4.1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</si>
  <si>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</si>
  <si>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</si>
  <si>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</si>
  <si>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</si>
  <si>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</si>
  <si>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</si>
  <si>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</si>
  <si>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</si>
  <si>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</si>
  <si>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</si>
  <si>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</si>
  <si>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</si>
  <si>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4.2</t>
  </si>
  <si>
    <t>премиальный фонд, в т.ч. НДФЛ:</t>
  </si>
  <si>
    <t xml:space="preserve">декабрь </t>
  </si>
  <si>
    <t>4.3</t>
  </si>
  <si>
    <t>договора оказания услуг (физ.лица), в т.ч. НДФЛ</t>
  </si>
  <si>
    <t>4.4</t>
  </si>
  <si>
    <t>декабрь</t>
  </si>
  <si>
    <t>налоги при УСН (доходы-расходы 15 %)</t>
  </si>
  <si>
    <t>1 квартал</t>
  </si>
  <si>
    <t>4.5</t>
  </si>
  <si>
    <t>услуги банка:</t>
  </si>
  <si>
    <t>4.6</t>
  </si>
  <si>
    <t>связь:</t>
  </si>
  <si>
    <t>январь ростелеком</t>
  </si>
  <si>
    <t>февраль ростелеком</t>
  </si>
  <si>
    <t>февраль сотовый</t>
  </si>
  <si>
    <t>март ростелеком</t>
  </si>
  <si>
    <t>март сотовый</t>
  </si>
  <si>
    <t>апрель ростелеком</t>
  </si>
  <si>
    <t>май сотовый</t>
  </si>
  <si>
    <t>май ростелеком</t>
  </si>
  <si>
    <t>июнь ростелеком</t>
  </si>
  <si>
    <t>июнь сотовый</t>
  </si>
  <si>
    <t>июль сотовый</t>
  </si>
  <si>
    <t>август ростелеком</t>
  </si>
  <si>
    <t>август сотовый</t>
  </si>
  <si>
    <t>октябрь сотовый</t>
  </si>
  <si>
    <t>октябрь ростелеком</t>
  </si>
  <si>
    <t>ноябрь сотовый</t>
  </si>
  <si>
    <t>ноябрь ростелеком</t>
  </si>
  <si>
    <t>декабрь ростелеком</t>
  </si>
  <si>
    <t>4.7</t>
  </si>
  <si>
    <t>услуги аварийной службы:</t>
  </si>
  <si>
    <t>4.8</t>
  </si>
  <si>
    <t>хозтовары, инвентарь:</t>
  </si>
  <si>
    <t>4.9</t>
  </si>
  <si>
    <t>канцтовары, обслуживание оргтехники:</t>
  </si>
  <si>
    <t>бумага</t>
  </si>
  <si>
    <t>4.10</t>
  </si>
  <si>
    <t>вывоз КГО</t>
  </si>
  <si>
    <t>4.11</t>
  </si>
  <si>
    <t>дератизация</t>
  </si>
  <si>
    <t>4.12</t>
  </si>
  <si>
    <t>юридические услуги:</t>
  </si>
  <si>
    <t>4.13</t>
  </si>
  <si>
    <t>услуги ИВЦ "Северный"</t>
  </si>
  <si>
    <t>5</t>
  </si>
  <si>
    <t>Ремонтные работы:</t>
  </si>
  <si>
    <t>5.1</t>
  </si>
  <si>
    <t>Инженерных коммуникаций дома:</t>
  </si>
  <si>
    <t>Проверка электронного оборудования ГВС и отопления</t>
  </si>
  <si>
    <t>5.2</t>
  </si>
  <si>
    <t>Электрической сети.</t>
  </si>
  <si>
    <t>Замена предохранителей пакетных переключателей вводно-распределительных щитов и устройств</t>
  </si>
  <si>
    <t>Ревизия электропроводки в подвалах жилого дома, установка плафонов, эл.патронов, выключателей, эл. ламп</t>
  </si>
  <si>
    <t>Ремонт эл.проводки на тех.этажах и в подъездах</t>
  </si>
  <si>
    <t>5.3</t>
  </si>
  <si>
    <t>Благоустройство дома</t>
  </si>
  <si>
    <t>Ремонт половой плитки в подъездах</t>
  </si>
  <si>
    <t>Замена разбитых стекол окон и дверей в подъездах</t>
  </si>
  <si>
    <t>Остекление и закрытие слуховых окон и подвалах</t>
  </si>
  <si>
    <t>Приведение подвалов и тех.этажей в санитарно-техническое состояние</t>
  </si>
  <si>
    <t>5.4</t>
  </si>
  <si>
    <t>Благоустройство дворовой территории.</t>
  </si>
  <si>
    <t>Утилизация энергосберегающих ламп</t>
  </si>
  <si>
    <t>Очистка и покраска бордюров</t>
  </si>
  <si>
    <t>Побелка деревьев</t>
  </si>
  <si>
    <t>5.5</t>
  </si>
  <si>
    <t>6</t>
  </si>
  <si>
    <t>Непредвиденные расходы</t>
  </si>
  <si>
    <t>Итого израсходованно по статьям</t>
  </si>
  <si>
    <t>Остаток п/отчета</t>
  </si>
  <si>
    <t>Главный бухгалтер</t>
  </si>
  <si>
    <t>Входящий остаток на 01.01.2013г., руб.</t>
  </si>
  <si>
    <t>Осталось на 30.06.2013г., руб.</t>
  </si>
  <si>
    <t>начисления за содержание и ремонт жилья</t>
  </si>
  <si>
    <t>Замена теплообменного комплекса системы ГВС</t>
  </si>
  <si>
    <t>Водопроводная сеть. Ревизия, ремонт, замена запорной арматуры для холодного водоснабжения, горячего водоснабжения в подвалах подъездов №3,4,7,8</t>
  </si>
  <si>
    <t>Ревизия, ремонт, частичная замена запорной арматуры трубопроводов отопления, в т.ч. двух задвижек Ф150</t>
  </si>
  <si>
    <t>Частичная замена труб горячего и холодного водоснабжения, отопления, устранение хомутов и свищей на трубопроводах</t>
  </si>
  <si>
    <t>Приобретение аппарата прочистки системы канализации</t>
  </si>
  <si>
    <t>Установка влагозащитных светильников в подвалах и техэтажах</t>
  </si>
  <si>
    <t>Установка общедомовых приборов учета эл.энергии в количестве 3 штук</t>
  </si>
  <si>
    <t>Ремонт межпанельных швов</t>
  </si>
  <si>
    <t>Ремонт мягкой кровли 100 кв.м</t>
  </si>
  <si>
    <t>Приобретение огнетушителей</t>
  </si>
  <si>
    <t>Ямочный ремонт асфальтового покрытия дворового покрытия дворовой территории S= кв.м</t>
  </si>
  <si>
    <t>Изготовление, установка и покраска ограждений у п. № 3</t>
  </si>
  <si>
    <t>Приобретение мусорного контейнера</t>
  </si>
  <si>
    <t>Покраска мусорных контейнеров</t>
  </si>
  <si>
    <t>Завоз песка для посыпки тротуаров в зимнее время года и для приведения подвалов в санитарно-техническое состояние</t>
  </si>
  <si>
    <t>Завоз  чернозема</t>
  </si>
  <si>
    <t>Проведение праздника двора: к Дню защиты детей, 1 сентября, к Новому году</t>
  </si>
  <si>
    <t>январь сотовая</t>
  </si>
  <si>
    <t>услуги почтовой связи</t>
  </si>
  <si>
    <t>Покупка рассады цветов, саженцев деревьев, кустарников, материалы для ухода за зелеными насаждениями</t>
  </si>
  <si>
    <t>услуги ИФНС</t>
  </si>
  <si>
    <t>правление</t>
  </si>
  <si>
    <t>т.ч.отпускные</t>
  </si>
  <si>
    <t>Денежные средства</t>
  </si>
  <si>
    <t>Отчисления во внебюджетные фонды</t>
  </si>
  <si>
    <t>возврат переплаты от ФСС</t>
  </si>
  <si>
    <t>июль ростелеком</t>
  </si>
  <si>
    <t>НДС</t>
  </si>
  <si>
    <t>Компенсация по залитию</t>
  </si>
  <si>
    <t>Страховые взносы (лифты, ответственность)</t>
  </si>
  <si>
    <t>Ковалева Л.И.</t>
  </si>
  <si>
    <t>Отчет по смете доходов и расходов ТСЖ "Московский 94" на 31.07.2013 г.</t>
  </si>
  <si>
    <t>Тариф 8,36 руб./кв.м</t>
  </si>
  <si>
    <t>1 полугодие</t>
  </si>
  <si>
    <t>перчатки, краска</t>
  </si>
  <si>
    <t>бумага,папки</t>
  </si>
  <si>
    <t>бумага,папки, скобы</t>
  </si>
  <si>
    <t>лампы,патроны,держатели</t>
  </si>
  <si>
    <t>краска</t>
  </si>
  <si>
    <t>муфты, трубы,герметик,горелка</t>
  </si>
  <si>
    <t>шнур</t>
  </si>
  <si>
    <t>метла,перчатки,ключи,замок</t>
  </si>
  <si>
    <t>лейки, очки, лопаты, удобрения, шланги, семена</t>
  </si>
  <si>
    <t>перчатки</t>
  </si>
  <si>
    <t>цв.печатьА4,бумага,скотч</t>
  </si>
  <si>
    <t>муфты, сгоны,пломбы</t>
  </si>
  <si>
    <t>задвижки,клапан,вентили</t>
  </si>
  <si>
    <t>листы голосования</t>
  </si>
  <si>
    <t>апрель сотовый</t>
  </si>
  <si>
    <t>Тачка садовая,доставка</t>
  </si>
  <si>
    <t>перчатки,грабли,ключи,швабра</t>
  </si>
  <si>
    <t>скоросшиватели,бумага,заправка картриджей</t>
  </si>
  <si>
    <t>ЭдвансПром, Компания по охране тепла</t>
  </si>
  <si>
    <t>оплата за кв.219 Саркисян</t>
  </si>
  <si>
    <t>т.ч. Больничный</t>
  </si>
  <si>
    <t>т.ч.отпускные,больничный</t>
  </si>
  <si>
    <t>Доводчики</t>
  </si>
  <si>
    <t>Скачков-окраска лифтов,почт.ящик</t>
  </si>
  <si>
    <t>Кравчук(ревизия), Иванова (контролер)</t>
  </si>
  <si>
    <t>Налог УСН за 2012 г.</t>
  </si>
  <si>
    <t>Тамбовцев</t>
  </si>
  <si>
    <t>Статьи затрат</t>
  </si>
  <si>
    <t>хозтовары, инвентарь</t>
  </si>
  <si>
    <t>сотовая связь</t>
  </si>
  <si>
    <t>канцтовары</t>
  </si>
  <si>
    <t>почтовые расходы</t>
  </si>
  <si>
    <t>лампы</t>
  </si>
  <si>
    <t>непредвиденные</t>
  </si>
  <si>
    <t>праздники</t>
  </si>
  <si>
    <t>инструменты</t>
  </si>
  <si>
    <t>кисти, ключи, замки,швабры, стир.порошок,мыло,глорикс</t>
  </si>
  <si>
    <t>бумага,файлы, док.пасп</t>
  </si>
  <si>
    <t>полотно по мет.,переходник под ключ</t>
  </si>
  <si>
    <t>управленческие расходы</t>
  </si>
  <si>
    <t>память юсб</t>
  </si>
  <si>
    <t>бензин для газон.</t>
  </si>
  <si>
    <t>ключ</t>
  </si>
  <si>
    <t>леска, перчатки, смс</t>
  </si>
  <si>
    <t>папки</t>
  </si>
  <si>
    <t>тетради</t>
  </si>
  <si>
    <t>эмаль, кисть, уайтспирит</t>
  </si>
  <si>
    <t>Ремонт мягкой кровли</t>
  </si>
  <si>
    <t>пропан, стеклоизол, валик, машинкаМПР</t>
  </si>
  <si>
    <t>замок навес.</t>
  </si>
  <si>
    <t>пластилин, ключ разв. (кв.303),клей момент, фум, масса эпоксид.</t>
  </si>
  <si>
    <t>стеклоизол, 8п-д</t>
  </si>
  <si>
    <t>зарядник</t>
  </si>
  <si>
    <t>стеклоизол</t>
  </si>
  <si>
    <t>пакля</t>
  </si>
  <si>
    <t>контрогайки, муфты, сгоны</t>
  </si>
  <si>
    <t>папки, ручки, маркер, брелок</t>
  </si>
  <si>
    <t>кран шаровой (циркуляц.2п-д)</t>
  </si>
  <si>
    <t>жилищ.кодекс</t>
  </si>
  <si>
    <t>заправка картр., замена барабана</t>
  </si>
  <si>
    <t>ножницы, стикеры</t>
  </si>
  <si>
    <t>шнур, светильники, клеммники, коробки распред.</t>
  </si>
  <si>
    <t>смен.б. к швабре</t>
  </si>
  <si>
    <t>цемент</t>
  </si>
  <si>
    <t>цемент (крыльцо 2п-да)</t>
  </si>
  <si>
    <t>штраф ПФР</t>
  </si>
  <si>
    <t>воздухоудалитель</t>
  </si>
  <si>
    <t>лампочки, изолента</t>
  </si>
  <si>
    <t>ножовка, лупа, стеклорез</t>
  </si>
  <si>
    <t>батарейка</t>
  </si>
  <si>
    <t>проволока ВР-2</t>
  </si>
  <si>
    <t>лопаты, скрепер</t>
  </si>
  <si>
    <t>совок, пропер,перчатки,глорикс</t>
  </si>
  <si>
    <t>выдано п/о</t>
  </si>
  <si>
    <t>клапан</t>
  </si>
  <si>
    <t>ручки</t>
  </si>
  <si>
    <t>Отчет по смете доходов и расходов ТСЖ "Московский 94" на 31.07.2014 г.</t>
  </si>
  <si>
    <t>Тариф 9,35 руб./кв.м</t>
  </si>
  <si>
    <t>т.ч. Пособие по ух.за реб., отпуск., работа в праздн.дни</t>
  </si>
  <si>
    <t>отпуск.</t>
  </si>
  <si>
    <t>Богатырева-проведение НГ праздн.</t>
  </si>
  <si>
    <t>Кашаев(ремонт стояка ГВС в перекрытии), Гладнев(снятие показаний эл.сч), Сазонова (замещение председателя), Лукьянова (контролер)</t>
  </si>
  <si>
    <t>Тамбовцев Г.И. (монтаж приспособл. для опломбировки эл.сч.)</t>
  </si>
  <si>
    <t>Налог УСН за 2013 г.</t>
  </si>
  <si>
    <t>транспортные расходы</t>
  </si>
  <si>
    <t>4.14</t>
  </si>
  <si>
    <t>4.15</t>
  </si>
  <si>
    <t>страхование лифтов, ответственности</t>
  </si>
  <si>
    <t>4.16</t>
  </si>
  <si>
    <t>пособие по уходу за ребенком до 1,5 лет</t>
  </si>
  <si>
    <t>4.17</t>
  </si>
  <si>
    <t>электронный паспорт МКД</t>
  </si>
  <si>
    <t>т.ч. работа в праздн.дни</t>
  </si>
  <si>
    <t>т.ч. отпуск.</t>
  </si>
  <si>
    <t>4.18</t>
  </si>
  <si>
    <t>возмещение расходов на пособия по социальному страхованию</t>
  </si>
  <si>
    <t>Водопроводная сеть. Ревизия, ремонт, замена запорной арматуры для холодного водоснабжения, горячего водоснабжения в подвалах подъездов</t>
  </si>
  <si>
    <t>Ревизия, ремонт, частичная замена запорной арматуры трубопроводов отопления</t>
  </si>
  <si>
    <t>5.19</t>
  </si>
  <si>
    <t>5.19.1</t>
  </si>
  <si>
    <t>5.19.2</t>
  </si>
  <si>
    <t>5.19.3</t>
  </si>
  <si>
    <t>Замена задвижек (кранов шаровых, фланцевых) на подающем трубопроводе D50 в под. №1-8</t>
  </si>
  <si>
    <t>5.19.4</t>
  </si>
  <si>
    <t>Замена вводной задвижки холодного водоснабжения D100 и трубопровода от задвижки до стены дома</t>
  </si>
  <si>
    <t>5.19.5</t>
  </si>
  <si>
    <t>5.19.6</t>
  </si>
  <si>
    <t>5.19.7</t>
  </si>
  <si>
    <t>Восстановление теплоизоляции на трубопроводах отопления и ГВС</t>
  </si>
  <si>
    <t>5.20</t>
  </si>
  <si>
    <t>5.20.1</t>
  </si>
  <si>
    <t>Демонтаж и установка квартирных электросчетчиков в электрощитовых на лестничных площадках</t>
  </si>
  <si>
    <t>5.20.2</t>
  </si>
  <si>
    <t>Приобретение предохранителей пакетных переключателей вводно-распределительных щитов и устройств</t>
  </si>
  <si>
    <t>5.20.3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</si>
  <si>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</si>
  <si>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5.21</t>
  </si>
  <si>
    <t>5.21.1</t>
  </si>
  <si>
    <t>5.21.2</t>
  </si>
  <si>
    <t>Ремонт половой плитки в подъездах 3,5,6,8</t>
  </si>
  <si>
    <t>5.21.3</t>
  </si>
  <si>
    <t>Косметический ремонт входной группы подъездов 3,7,8</t>
  </si>
  <si>
    <t>5.21.4</t>
  </si>
  <si>
    <t>5.21.5</t>
  </si>
  <si>
    <t>5.21.6</t>
  </si>
  <si>
    <t>5.21.7</t>
  </si>
  <si>
    <t>5.21.8</t>
  </si>
  <si>
    <t>5.21.9</t>
  </si>
  <si>
    <t>Установка стеклопакета в офисе ТСЖ</t>
  </si>
  <si>
    <t>5.22</t>
  </si>
  <si>
    <t>5.22.1</t>
  </si>
  <si>
    <t>5.22.2</t>
  </si>
  <si>
    <t>5.22.3</t>
  </si>
  <si>
    <t>5.22.4</t>
  </si>
  <si>
    <t>Бетонирование площадки под КГМ</t>
  </si>
  <si>
    <t>5.22.5</t>
  </si>
  <si>
    <t>5.22.6</t>
  </si>
  <si>
    <t>5.22.7</t>
  </si>
  <si>
    <t>5.22.8</t>
  </si>
  <si>
    <t>5.22.9</t>
  </si>
  <si>
    <t>5.22.10</t>
  </si>
  <si>
    <t>5.22.11</t>
  </si>
  <si>
    <t>5.23</t>
  </si>
  <si>
    <t>6.24</t>
  </si>
  <si>
    <t>соль</t>
  </si>
  <si>
    <t>Кравчук(ревизия)</t>
  </si>
  <si>
    <t>ремонт стояка ГВС в квартире, замена трубы на тех.этаже(Кокин)</t>
  </si>
  <si>
    <t>бензин</t>
  </si>
  <si>
    <t>Входящий остаток на 01.01.2014г., руб.</t>
  </si>
  <si>
    <t>Осталось на 30.06.2014г., руб.</t>
  </si>
  <si>
    <t>Остекление и закрытие слуховых окон в подвалах</t>
  </si>
  <si>
    <t>сентябрь ростелеком</t>
  </si>
  <si>
    <t>сентябрь сотовый</t>
  </si>
  <si>
    <t>ИП Стадников</t>
  </si>
  <si>
    <t>Тариф 10,00 руб./кв.м</t>
  </si>
  <si>
    <t>Замена двух вводных задвижек отопления D150</t>
  </si>
  <si>
    <t>Частичная замена труб канализации в подвалах подъездов № 6,7</t>
  </si>
  <si>
    <t>Площадь 25127,2 м2</t>
  </si>
  <si>
    <t>Ремонт, покраска рам, замена разбитых стекол окон и дверей в подъездах</t>
  </si>
  <si>
    <t>Расширение оконного проема, установка стеклопакета в офисе ТСЖ</t>
  </si>
  <si>
    <t>Завоз песка для посыпки тротуаров в зимнее время года и для приведения подвалов в санитарно-техническое состояние, на детскую площадку</t>
  </si>
  <si>
    <t>клей</t>
  </si>
  <si>
    <t>заправка картриджа</t>
  </si>
  <si>
    <t>Израсходовано, руб.</t>
  </si>
  <si>
    <t>т.ч. работа в праздн.дни, расчет при увольн.</t>
  </si>
  <si>
    <t>снятие показ.</t>
  </si>
  <si>
    <t>т.ч. снятие показ.</t>
  </si>
  <si>
    <t>т.ч.отпуск.</t>
  </si>
  <si>
    <t>возвраты п/о сумм</t>
  </si>
  <si>
    <t>Перевод средств между счетами</t>
  </si>
  <si>
    <t>1 полугодие авансовый</t>
  </si>
  <si>
    <t>9 месяцев авансовый</t>
  </si>
  <si>
    <t>дератизация, дезинсекция</t>
  </si>
  <si>
    <t>кап.ремонт по ООО Партнер</t>
  </si>
  <si>
    <t>перечислены на р/с ТСЖ и переведены в МИнБанк по ООО Партнер за капремонт</t>
  </si>
  <si>
    <t>ремонт межпанельных швов</t>
  </si>
  <si>
    <t>вывоз тбо</t>
  </si>
  <si>
    <t>ООО "Стройком"</t>
  </si>
  <si>
    <t>Чурсин (; Кокин(</t>
  </si>
  <si>
    <t>т.ч. работа в праздн.дни, отпуск</t>
  </si>
  <si>
    <t>Немцов(); Безус (устан.светодиод.светил.); Соколовский(); Тихонова(уборка подъездов)</t>
  </si>
  <si>
    <t>Немцов(); Соколовский(дворник,)</t>
  </si>
  <si>
    <t>Федоров ()</t>
  </si>
  <si>
    <t>Кокин()</t>
  </si>
  <si>
    <t>Адаменко(); Кашаев(); Тамбовцев(); Безус(светодиод.светил.)</t>
  </si>
  <si>
    <t>отпуск., расч. при увольн., больничн.</t>
  </si>
  <si>
    <t>Тихонова(уборка подъездов)</t>
  </si>
  <si>
    <t>перечислены на р/с ТСЖ и переведены на счет поставщика за вывоз ТКО</t>
  </si>
  <si>
    <t>Кокин(); Сазонова(замещ.председ.)</t>
  </si>
  <si>
    <t>отпуск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</si>
  <si>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</si>
  <si>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</si>
  <si>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</si>
  <si>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</si>
  <si>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</si>
  <si>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</si>
  <si>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</si>
  <si>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</si>
  <si>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</si>
  <si>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</si>
  <si>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</si>
  <si>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</si>
  <si>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</si>
  <si>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</si>
  <si>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диагностика системы вентиляции</t>
  </si>
  <si>
    <t>18</t>
  </si>
  <si>
    <t>19</t>
  </si>
  <si>
    <t>19.1</t>
  </si>
  <si>
    <t>19.2</t>
  </si>
  <si>
    <t>19.3</t>
  </si>
  <si>
    <t>19.4</t>
  </si>
  <si>
    <t>19.5</t>
  </si>
  <si>
    <t>Замена манометров, термометров в системе отопления</t>
  </si>
  <si>
    <t>Частичная замена труб канализации в подвалах подъездов</t>
  </si>
  <si>
    <t>20</t>
  </si>
  <si>
    <t>20.1</t>
  </si>
  <si>
    <t>20.2</t>
  </si>
  <si>
    <t>20.3</t>
  </si>
  <si>
    <t>Установка светодиодных светильников на лестничных площадках</t>
  </si>
  <si>
    <t>21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</si>
  <si>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</si>
  <si>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</si>
  <si>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</si>
  <si>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</si>
  <si>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</si>
  <si>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</si>
  <si>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</si>
  <si>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</si>
  <si>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</si>
  <si>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Ремонт межпанельных швов 400 п.м</t>
  </si>
  <si>
    <t>Ремонт половой плитки в подъездах 2</t>
  </si>
  <si>
    <t>Демонтаж старой кровли, под.№4 500кв.м, частичный ремонт бетонного перекрытия, грунтовка, покрытие 2слоями кровли, вывоз старой кровли</t>
  </si>
  <si>
    <t>Ремонт мягкой кровли под. № 8</t>
  </si>
  <si>
    <t>Ремонт отмостки дома и приямков</t>
  </si>
  <si>
    <t>Ремонт, покраска рам,замена разбитых стеколокон и дверей в подъездах</t>
  </si>
  <si>
    <t>Ямочный ремонт асфальтового покрытия дворового покрытия дворовой территории S= 60 кв.м</t>
  </si>
  <si>
    <t>Установка, ремонт и покраска ограждений</t>
  </si>
  <si>
    <t>Приобретение бензопилы</t>
  </si>
  <si>
    <t>22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</si>
  <si>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</si>
  <si>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</si>
  <si>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</si>
  <si>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</si>
  <si>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</si>
  <si>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</si>
  <si>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</si>
  <si>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</si>
  <si>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</si>
  <si>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</si>
  <si>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23</t>
  </si>
  <si>
    <t>Расчет с поставщиками коммунальных ресурсов</t>
  </si>
  <si>
    <t>24</t>
  </si>
  <si>
    <t>25</t>
  </si>
  <si>
    <t>ремонт щита упр-я,</t>
  </si>
  <si>
    <t>замена несущих канатов лифта</t>
  </si>
  <si>
    <t>ООО "Взлет"</t>
  </si>
  <si>
    <t>сертификат ключа подписи</t>
  </si>
  <si>
    <t>оборуд-е для детской площадки</t>
  </si>
  <si>
    <t>задолж-ть за ООО "Роспромбанк"</t>
  </si>
  <si>
    <t>Ремонт мягкой кровли п.8</t>
  </si>
  <si>
    <t>круг отр.</t>
  </si>
  <si>
    <t>юридические</t>
  </si>
  <si>
    <t>газ</t>
  </si>
  <si>
    <t>бордюры</t>
  </si>
  <si>
    <t>колер, краска</t>
  </si>
  <si>
    <t>побелка деревьев</t>
  </si>
  <si>
    <t>побелка, кисть</t>
  </si>
  <si>
    <t>Ремонт мягкой кровли п.4</t>
  </si>
  <si>
    <t>цемент, мешки</t>
  </si>
  <si>
    <t>лен</t>
  </si>
  <si>
    <t>Изготовление, установка и покраска ограждений</t>
  </si>
  <si>
    <t>краска, кисти</t>
  </si>
  <si>
    <t xml:space="preserve">папки, календарь, клей,ножницы, корректор, заправка картриджа, замена барабана, бланки паспортиста, </t>
  </si>
  <si>
    <t>замки, ключи, бензин для газонокосилки, культиватор</t>
  </si>
  <si>
    <t>грабли, ключи, секатор, ножовка, грунт</t>
  </si>
  <si>
    <t>рассада цветов, удобрение</t>
  </si>
  <si>
    <t>бумага, газета</t>
  </si>
  <si>
    <t xml:space="preserve">скотч </t>
  </si>
  <si>
    <t>сапоги, колесо тачки, пакеты д/мусора, перчатки, метла, лопата, замок</t>
  </si>
  <si>
    <t>блок швабры, смс, шпагат, замок, клей, круг отр., ключ трубный</t>
  </si>
  <si>
    <t>рубитекс</t>
  </si>
  <si>
    <t>цемент для плитки тротуарн.</t>
  </si>
  <si>
    <t>труба вгп, муфты, контргайки, сгоны</t>
  </si>
  <si>
    <t>вентиляция</t>
  </si>
  <si>
    <t>смс, ремонт дрели, перчатки, пленка, эмаль, кисть</t>
  </si>
  <si>
    <t>тройник, муфта, футорка, лен, сгоны, резьба, кран шаров.</t>
  </si>
  <si>
    <t>электроды</t>
  </si>
  <si>
    <t>пескосмесь</t>
  </si>
  <si>
    <t>кран шаров., муфта</t>
  </si>
  <si>
    <t>смс, перчатки, швабра, замок, насадка для полива, ключ, кисть,пакеты для мусора,бензин для газонокосилки</t>
  </si>
  <si>
    <t>батарейки, краска, изолента, удлинитель, арматура, ключ, масло, леска для триммера</t>
  </si>
  <si>
    <t>антивирус</t>
  </si>
  <si>
    <t>ООО "Стройком", шпатлевка</t>
  </si>
  <si>
    <t>смс, перчатки, блок к швабре</t>
  </si>
  <si>
    <t>луковицы</t>
  </si>
  <si>
    <t>пена, очиститель пены</t>
  </si>
  <si>
    <t>фотопечать</t>
  </si>
  <si>
    <t>пена, гереметик, болты, гайки, клапан</t>
  </si>
  <si>
    <t>СБИС, бумага, газета</t>
  </si>
  <si>
    <t>подписка на СМИ, инф. В ГИС ЖКХ, антивирус</t>
  </si>
  <si>
    <t>ревизия щита управления сист.подгот. ГВС, труба вгп, муфты, контргайки, сгоны</t>
  </si>
  <si>
    <t>светодиодн. светильники</t>
  </si>
  <si>
    <t>рассада цветов, удобрение, луковицы тюльпанов</t>
  </si>
  <si>
    <t>клей, плитка</t>
  </si>
  <si>
    <t>электроды, краска, кисти</t>
  </si>
  <si>
    <t>тротуарн.плитка, борд.камень, цемент, пескосмесь</t>
  </si>
  <si>
    <t>блок швабры, смс, шпагат, замок, клей, круг отр., ключ трубный, соль</t>
  </si>
  <si>
    <t>газ, рубитекс</t>
  </si>
  <si>
    <t>ООО "ИНТЕЛ", цемент, мешки, газ</t>
  </si>
  <si>
    <t>вывоз ТКО</t>
  </si>
  <si>
    <t>в Россельхозбанк при открытии счета</t>
  </si>
  <si>
    <t>Запланировано, руб.</t>
  </si>
  <si>
    <t>фотопечать, объявление в сми, обсл-е 1С</t>
  </si>
  <si>
    <t>перчатки, замена доводчика</t>
  </si>
  <si>
    <t>Налог УСН за 1 кв.2016 г.</t>
  </si>
  <si>
    <t>грабли, соль, мешки д/мусора, ножовка, круг отр.,</t>
  </si>
  <si>
    <t>бумага, флешки,ручки, папки, корректор</t>
  </si>
  <si>
    <t>переходник чуг., лен, цемент, хомут</t>
  </si>
  <si>
    <t>переходник, труба, патрубок</t>
  </si>
  <si>
    <t>муфта, соединитель, герметик, резьба</t>
  </si>
  <si>
    <t>соль, болты, гайки, буры, лопата</t>
  </si>
  <si>
    <t>кран шаров., манжета</t>
  </si>
  <si>
    <t>декабрь сотовый</t>
  </si>
  <si>
    <t>кран шаровый, фильтр, приемка узла учета воды, тройник, муфта, футорка, лен, сгоны, резьба, пена, гереметик, болты, гайки, клапан, манжета</t>
  </si>
  <si>
    <t>Кашаев(), Кокин()</t>
  </si>
  <si>
    <t>бумага, флешки,ручки, папки, корректор, ДрВэб</t>
  </si>
  <si>
    <t>Отчет по смете доходов и расходов ТСЖ "Московский 94" на 31.12.2016 г.</t>
  </si>
  <si>
    <t>Входящий остаток на 01.01.2016г., руб.</t>
  </si>
  <si>
    <t>Осталось на 31.12.2016г., руб.</t>
  </si>
  <si>
    <t>переходник, труба, патрубок, заглушка, ревизия, проволока</t>
  </si>
  <si>
    <t>т.ч. пособ.на погр.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</si>
</sst>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0" fillId="35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/>
    </xf>
    <xf numFmtId="2" fontId="0" fillId="37" borderId="11" xfId="0" applyNumberFormat="1" applyFill="1" applyBorder="1" applyAlignment="1">
      <alignment/>
    </xf>
    <xf numFmtId="49" fontId="0" fillId="36" borderId="11" xfId="0" applyNumberFormat="1" applyFont="1" applyFill="1" applyBorder="1" applyAlignment="1">
      <alignment horizontal="right"/>
    </xf>
    <xf numFmtId="2" fontId="0" fillId="34" borderId="11" xfId="0" applyNumberFormat="1" applyFill="1" applyBorder="1" applyAlignment="1">
      <alignment wrapText="1"/>
    </xf>
    <xf numFmtId="2" fontId="0" fillId="33" borderId="11" xfId="0" applyNumberFormat="1" applyFill="1" applyBorder="1" applyAlignment="1">
      <alignment wrapText="1"/>
    </xf>
    <xf numFmtId="2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3" fillId="37" borderId="12" xfId="0" applyNumberFormat="1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0" fillId="37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7" borderId="11" xfId="0" applyNumberFormat="1" applyFill="1" applyBorder="1" applyAlignment="1">
      <alignment/>
    </xf>
    <xf numFmtId="4" fontId="0" fillId="37" borderId="0" xfId="0" applyNumberFormat="1" applyFill="1" applyAlignment="1">
      <alignment/>
    </xf>
    <xf numFmtId="0" fontId="0" fillId="33" borderId="11" xfId="0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4" fontId="0" fillId="34" borderId="11" xfId="0" applyNumberFormat="1" applyFont="1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wrapText="1"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8" borderId="11" xfId="0" applyFill="1" applyBorder="1" applyAlignment="1">
      <alignment/>
    </xf>
    <xf numFmtId="0" fontId="3" fillId="38" borderId="11" xfId="0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/>
    </xf>
    <xf numFmtId="4" fontId="40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0" fontId="0" fillId="38" borderId="11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4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14" xfId="0" applyFill="1" applyBorder="1" applyAlignment="1">
      <alignment/>
    </xf>
    <xf numFmtId="0" fontId="40" fillId="0" borderId="14" xfId="0" applyFont="1" applyBorder="1" applyAlignment="1">
      <alignment/>
    </xf>
    <xf numFmtId="0" fontId="40" fillId="4" borderId="14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16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13" borderId="14" xfId="0" applyFill="1" applyBorder="1" applyAlignment="1">
      <alignment/>
    </xf>
    <xf numFmtId="0" fontId="4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43" borderId="14" xfId="0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16" xfId="0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7" borderId="18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4" fontId="3" fillId="39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wrapText="1"/>
    </xf>
    <xf numFmtId="2" fontId="40" fillId="34" borderId="11" xfId="0" applyNumberFormat="1" applyFont="1" applyFill="1" applyBorder="1" applyAlignment="1">
      <alignment/>
    </xf>
    <xf numFmtId="2" fontId="40" fillId="37" borderId="11" xfId="0" applyNumberFormat="1" applyFont="1" applyFill="1" applyBorder="1" applyAlignment="1">
      <alignment/>
    </xf>
    <xf numFmtId="4" fontId="50" fillId="34" borderId="11" xfId="0" applyNumberFormat="1" applyFont="1" applyFill="1" applyBorder="1" applyAlignment="1">
      <alignment/>
    </xf>
    <xf numFmtId="4" fontId="51" fillId="34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0" borderId="0" xfId="0" applyAlignment="1">
      <alignment wrapText="1"/>
    </xf>
    <xf numFmtId="49" fontId="40" fillId="36" borderId="11" xfId="0" applyNumberFormat="1" applyFont="1" applyFill="1" applyBorder="1" applyAlignment="1">
      <alignment horizontal="right"/>
    </xf>
    <xf numFmtId="0" fontId="0" fillId="13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4" xfId="0" applyFill="1" applyBorder="1" applyAlignment="1">
      <alignment/>
    </xf>
    <xf numFmtId="0" fontId="0" fillId="33" borderId="20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/>
    </xf>
    <xf numFmtId="0" fontId="53" fillId="0" borderId="14" xfId="0" applyFont="1" applyBorder="1" applyAlignment="1">
      <alignment wrapText="1"/>
    </xf>
    <xf numFmtId="0" fontId="52" fillId="39" borderId="14" xfId="0" applyFont="1" applyFill="1" applyBorder="1" applyAlignment="1">
      <alignment/>
    </xf>
    <xf numFmtId="0" fontId="52" fillId="40" borderId="14" xfId="0" applyFont="1" applyFill="1" applyBorder="1" applyAlignment="1">
      <alignment/>
    </xf>
    <xf numFmtId="0" fontId="52" fillId="4" borderId="14" xfId="0" applyFont="1" applyFill="1" applyBorder="1" applyAlignment="1">
      <alignment/>
    </xf>
    <xf numFmtId="0" fontId="52" fillId="16" borderId="14" xfId="0" applyFont="1" applyFill="1" applyBorder="1" applyAlignment="1">
      <alignment/>
    </xf>
    <xf numFmtId="0" fontId="52" fillId="41" borderId="14" xfId="0" applyFont="1" applyFill="1" applyBorder="1" applyAlignment="1">
      <alignment/>
    </xf>
    <xf numFmtId="0" fontId="52" fillId="42" borderId="14" xfId="0" applyFont="1" applyFill="1" applyBorder="1" applyAlignment="1">
      <alignment/>
    </xf>
    <xf numFmtId="0" fontId="52" fillId="13" borderId="14" xfId="0" applyFont="1" applyFill="1" applyBorder="1" applyAlignment="1">
      <alignment/>
    </xf>
    <xf numFmtId="0" fontId="52" fillId="19" borderId="14" xfId="0" applyFont="1" applyFill="1" applyBorder="1" applyAlignment="1">
      <alignment/>
    </xf>
    <xf numFmtId="0" fontId="52" fillId="45" borderId="14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4" fillId="33" borderId="11" xfId="0" applyFont="1" applyFill="1" applyBorder="1" applyAlignment="1">
      <alignment wrapText="1"/>
    </xf>
    <xf numFmtId="2" fontId="53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right"/>
    </xf>
    <xf numFmtId="4" fontId="53" fillId="33" borderId="11" xfId="0" applyNumberFormat="1" applyFont="1" applyFill="1" applyBorder="1" applyAlignment="1">
      <alignment/>
    </xf>
    <xf numFmtId="4" fontId="53" fillId="33" borderId="11" xfId="0" applyNumberFormat="1" applyFont="1" applyFill="1" applyBorder="1" applyAlignment="1">
      <alignment wrapText="1"/>
    </xf>
    <xf numFmtId="4" fontId="31" fillId="33" borderId="11" xfId="0" applyNumberFormat="1" applyFont="1" applyFill="1" applyBorder="1" applyAlignment="1">
      <alignment/>
    </xf>
    <xf numFmtId="2" fontId="53" fillId="33" borderId="11" xfId="0" applyNumberFormat="1" applyFont="1" applyFill="1" applyBorder="1" applyAlignment="1">
      <alignment wrapText="1"/>
    </xf>
    <xf numFmtId="2" fontId="53" fillId="0" borderId="11" xfId="0" applyNumberFormat="1" applyFont="1" applyFill="1" applyBorder="1" applyAlignment="1">
      <alignment wrapText="1"/>
    </xf>
    <xf numFmtId="0" fontId="53" fillId="0" borderId="14" xfId="0" applyFont="1" applyBorder="1" applyAlignment="1">
      <alignment/>
    </xf>
    <xf numFmtId="4" fontId="55" fillId="37" borderId="11" xfId="0" applyNumberFormat="1" applyFont="1" applyFill="1" applyBorder="1" applyAlignment="1">
      <alignment/>
    </xf>
    <xf numFmtId="0" fontId="53" fillId="33" borderId="11" xfId="0" applyFont="1" applyFill="1" applyBorder="1" applyAlignment="1">
      <alignment wrapText="1"/>
    </xf>
    <xf numFmtId="0" fontId="0" fillId="46" borderId="14" xfId="0" applyFill="1" applyBorder="1" applyAlignment="1">
      <alignment/>
    </xf>
    <xf numFmtId="0" fontId="0" fillId="33" borderId="11" xfId="0" applyFill="1" applyBorder="1" applyAlignment="1">
      <alignment horizontal="right"/>
    </xf>
    <xf numFmtId="49" fontId="0" fillId="35" borderId="11" xfId="0" applyNumberFormat="1" applyFill="1" applyBorder="1" applyAlignment="1">
      <alignment horizontal="right"/>
    </xf>
    <xf numFmtId="0" fontId="0" fillId="47" borderId="14" xfId="0" applyFill="1" applyBorder="1" applyAlignment="1">
      <alignment/>
    </xf>
    <xf numFmtId="0" fontId="52" fillId="47" borderId="14" xfId="0" applyFont="1" applyFill="1" applyBorder="1" applyAlignment="1">
      <alignment/>
    </xf>
    <xf numFmtId="0" fontId="52" fillId="47" borderId="14" xfId="0" applyFont="1" applyFill="1" applyBorder="1" applyAlignment="1">
      <alignment wrapText="1"/>
    </xf>
    <xf numFmtId="49" fontId="40" fillId="33" borderId="11" xfId="0" applyNumberFormat="1" applyFont="1" applyFill="1" applyBorder="1" applyAlignment="1">
      <alignment horizontal="right"/>
    </xf>
    <xf numFmtId="49" fontId="40" fillId="35" borderId="11" xfId="0" applyNumberFormat="1" applyFont="1" applyFill="1" applyBorder="1" applyAlignment="1">
      <alignment horizontal="right"/>
    </xf>
    <xf numFmtId="4" fontId="40" fillId="34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0" borderId="21" xfId="0" applyFont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0" xfId="0" applyFont="1" applyBorder="1" applyAlignment="1">
      <alignment/>
    </xf>
    <xf numFmtId="0" fontId="52" fillId="46" borderId="14" xfId="0" applyFont="1" applyFill="1" applyBorder="1" applyAlignment="1">
      <alignment/>
    </xf>
    <xf numFmtId="2" fontId="53" fillId="0" borderId="19" xfId="0" applyNumberFormat="1" applyFont="1" applyFill="1" applyBorder="1" applyAlignment="1">
      <alignment wrapText="1"/>
    </xf>
    <xf numFmtId="2" fontId="53" fillId="0" borderId="14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4" fontId="0" fillId="34" borderId="12" xfId="0" applyNumberFormat="1" applyFont="1" applyFill="1" applyBorder="1" applyAlignment="1">
      <alignment/>
    </xf>
    <xf numFmtId="2" fontId="53" fillId="33" borderId="19" xfId="0" applyNumberFormat="1" applyFont="1" applyFill="1" applyBorder="1" applyAlignment="1">
      <alignment wrapText="1"/>
    </xf>
    <xf numFmtId="2" fontId="53" fillId="33" borderId="17" xfId="0" applyNumberFormat="1" applyFont="1" applyFill="1" applyBorder="1" applyAlignment="1">
      <alignment wrapText="1"/>
    </xf>
    <xf numFmtId="2" fontId="53" fillId="33" borderId="14" xfId="0" applyNumberFormat="1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4" fontId="40" fillId="37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right"/>
    </xf>
    <xf numFmtId="0" fontId="0" fillId="47" borderId="15" xfId="0" applyFill="1" applyBorder="1" applyAlignment="1">
      <alignment horizontal="center"/>
    </xf>
    <xf numFmtId="0" fontId="0" fillId="47" borderId="2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40" fillId="39" borderId="14" xfId="0" applyFont="1" applyFill="1" applyBorder="1" applyAlignment="1">
      <alignment horizontal="center"/>
    </xf>
    <xf numFmtId="0" fontId="40" fillId="40" borderId="15" xfId="0" applyFont="1" applyFill="1" applyBorder="1" applyAlignment="1">
      <alignment horizontal="center"/>
    </xf>
    <xf numFmtId="0" fontId="40" fillId="40" borderId="22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22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7109375" style="0" customWidth="1"/>
    <col min="2" max="2" width="40.7109375" style="0" customWidth="1"/>
    <col min="3" max="3" width="13.00390625" style="0" customWidth="1"/>
    <col min="4" max="4" width="28.00390625" style="0" customWidth="1"/>
    <col min="5" max="5" width="23.8515625" style="0" customWidth="1"/>
    <col min="6" max="6" width="43.7109375" style="31" customWidth="1"/>
    <col min="7" max="7" width="9.57421875" style="0" customWidth="1"/>
    <col min="8" max="9" width="10.57421875" style="0" customWidth="1"/>
  </cols>
  <sheetData>
    <row r="1" spans="1:6" ht="50.25" customHeight="1">
      <c r="A1" s="165" t="s">
        <v>210</v>
      </c>
      <c r="B1" s="165"/>
      <c r="C1" s="165"/>
      <c r="D1" s="165"/>
      <c r="E1" s="165"/>
      <c r="F1" s="165"/>
    </row>
    <row r="2" spans="1:6" ht="15">
      <c r="A2" s="166" t="s">
        <v>0</v>
      </c>
      <c r="B2" s="166"/>
      <c r="C2" s="1"/>
      <c r="D2" s="167" t="s">
        <v>211</v>
      </c>
      <c r="E2" s="167"/>
      <c r="F2" s="167"/>
    </row>
    <row r="3" spans="1:6" ht="51.75">
      <c r="A3" s="2"/>
      <c r="B3" s="2"/>
      <c r="C3" s="3" t="s">
        <v>282</v>
      </c>
      <c r="D3" s="4" t="s">
        <v>1</v>
      </c>
      <c r="E3" s="5" t="s">
        <v>2</v>
      </c>
      <c r="F3" s="4" t="s">
        <v>283</v>
      </c>
    </row>
    <row r="4" spans="1:6" ht="17.25" customHeight="1">
      <c r="A4" s="6">
        <v>1</v>
      </c>
      <c r="B4" s="2" t="s">
        <v>123</v>
      </c>
      <c r="C4" s="32">
        <v>185207.22</v>
      </c>
      <c r="D4" s="32">
        <v>1682107.22</v>
      </c>
      <c r="E4" s="33">
        <v>1497866.89</v>
      </c>
      <c r="F4" s="99">
        <f>C4+D4-E4</f>
        <v>369447.55000000005</v>
      </c>
    </row>
    <row r="5" spans="1:6" ht="17.25" customHeight="1">
      <c r="A5" s="75"/>
      <c r="B5" s="65"/>
      <c r="C5" s="66"/>
      <c r="D5" s="67"/>
      <c r="E5" s="68"/>
      <c r="F5" s="67"/>
    </row>
    <row r="6" spans="1:7" ht="39" customHeight="1">
      <c r="A6" s="4" t="s">
        <v>3</v>
      </c>
      <c r="B6" s="7"/>
      <c r="C6" s="7"/>
      <c r="D6" s="7" t="s">
        <v>4</v>
      </c>
      <c r="E6" s="8" t="s">
        <v>1</v>
      </c>
      <c r="F6" s="7" t="s">
        <v>5</v>
      </c>
      <c r="G6" s="9"/>
    </row>
    <row r="7" spans="1:9" ht="15.75">
      <c r="A7" s="6"/>
      <c r="B7" s="10" t="s">
        <v>6</v>
      </c>
      <c r="C7" s="10"/>
      <c r="D7" s="38"/>
      <c r="E7" s="38"/>
      <c r="F7" s="38"/>
      <c r="I7" s="9"/>
    </row>
    <row r="8" spans="1:6" ht="15">
      <c r="A8" s="6">
        <v>2</v>
      </c>
      <c r="B8" s="2" t="s">
        <v>99</v>
      </c>
      <c r="C8" s="2"/>
      <c r="D8" s="70">
        <v>2818778</v>
      </c>
      <c r="E8" s="70">
        <v>1520562.45</v>
      </c>
      <c r="F8" s="32">
        <f>D8-E8</f>
        <v>1298215.55</v>
      </c>
    </row>
    <row r="9" spans="1:9" ht="30">
      <c r="A9" s="6">
        <v>3</v>
      </c>
      <c r="B9" s="14" t="s">
        <v>7</v>
      </c>
      <c r="C9" s="14"/>
      <c r="D9" s="70">
        <v>227472</v>
      </c>
      <c r="E9" s="71">
        <v>93404.73</v>
      </c>
      <c r="F9" s="32">
        <f>C9+D9-E9</f>
        <v>134067.27000000002</v>
      </c>
      <c r="I9" s="9"/>
    </row>
    <row r="10" spans="1:9" ht="30">
      <c r="A10" s="6">
        <v>4</v>
      </c>
      <c r="B10" s="14" t="s">
        <v>229</v>
      </c>
      <c r="C10" s="14"/>
      <c r="D10" s="70"/>
      <c r="E10" s="71">
        <v>68140.04</v>
      </c>
      <c r="F10" s="32"/>
      <c r="I10" s="9"/>
    </row>
    <row r="11" spans="1:12" ht="15">
      <c r="A11" s="6"/>
      <c r="B11" s="15" t="s">
        <v>9</v>
      </c>
      <c r="C11" s="15"/>
      <c r="D11" s="104">
        <f>SUM(D8:D10)</f>
        <v>3046250</v>
      </c>
      <c r="E11" s="104">
        <f>SUM(E8:E10)</f>
        <v>1682107.22</v>
      </c>
      <c r="F11" s="104">
        <f>SUM(F8:F10)</f>
        <v>1432282.82</v>
      </c>
      <c r="L11" s="16"/>
    </row>
    <row r="12" spans="1:8" ht="15">
      <c r="A12" s="4" t="s">
        <v>3</v>
      </c>
      <c r="B12" s="4"/>
      <c r="C12" s="4"/>
      <c r="D12" s="72" t="s">
        <v>4</v>
      </c>
      <c r="E12" s="73" t="s">
        <v>2</v>
      </c>
      <c r="F12" s="7" t="s">
        <v>5</v>
      </c>
      <c r="H12" s="9"/>
    </row>
    <row r="13" spans="1:6" ht="15.75">
      <c r="A13" s="6">
        <v>4</v>
      </c>
      <c r="B13" s="10" t="s">
        <v>10</v>
      </c>
      <c r="C13" s="10"/>
      <c r="D13" s="11"/>
      <c r="E13" s="12"/>
      <c r="F13" s="13"/>
    </row>
    <row r="14" spans="1:6" ht="15">
      <c r="A14" s="17" t="s">
        <v>11</v>
      </c>
      <c r="B14" s="18" t="s">
        <v>12</v>
      </c>
      <c r="C14" s="39"/>
      <c r="D14" s="39">
        <v>1271400</v>
      </c>
      <c r="E14" s="40">
        <f>SUM(E15:E26)</f>
        <v>644656.13</v>
      </c>
      <c r="F14" s="39">
        <f>D14-E14</f>
        <v>626743.87</v>
      </c>
    </row>
    <row r="15" spans="1:9" ht="15">
      <c r="A15" s="20"/>
      <c r="B15" s="2" t="s">
        <v>13</v>
      </c>
      <c r="C15" s="37"/>
      <c r="D15" s="34"/>
      <c r="E15" s="41">
        <f>99917.6+5575</f>
        <v>105492.6</v>
      </c>
      <c r="F15" s="37" t="s">
        <v>226</v>
      </c>
      <c r="I15" s="9"/>
    </row>
    <row r="16" spans="1:8" ht="15">
      <c r="A16" s="20"/>
      <c r="B16" s="2" t="s">
        <v>14</v>
      </c>
      <c r="C16" s="37"/>
      <c r="D16" s="35"/>
      <c r="E16" s="41">
        <f>5575+92800+27.09</f>
        <v>98402.09</v>
      </c>
      <c r="F16" s="37"/>
      <c r="H16" s="9"/>
    </row>
    <row r="17" spans="1:6" ht="15">
      <c r="A17" s="20"/>
      <c r="B17" s="2" t="s">
        <v>15</v>
      </c>
      <c r="C17" s="37"/>
      <c r="D17" s="35"/>
      <c r="E17" s="41">
        <f>3663.27+92400+5546.25</f>
        <v>101609.52</v>
      </c>
      <c r="F17" s="37" t="s">
        <v>227</v>
      </c>
    </row>
    <row r="18" spans="1:9" ht="15">
      <c r="A18" s="20"/>
      <c r="B18" s="2" t="s">
        <v>16</v>
      </c>
      <c r="C18" s="37"/>
      <c r="D18" s="35"/>
      <c r="E18" s="41">
        <f>6637.64+89527.27+5339.77</f>
        <v>101504.68000000001</v>
      </c>
      <c r="F18" s="37" t="s">
        <v>227</v>
      </c>
      <c r="I18" s="9"/>
    </row>
    <row r="19" spans="1:6" ht="28.5" customHeight="1">
      <c r="A19" s="20"/>
      <c r="B19" s="2" t="s">
        <v>17</v>
      </c>
      <c r="C19" s="37"/>
      <c r="D19" s="35"/>
      <c r="E19" s="41">
        <f>82115.79+24724.81</f>
        <v>106840.59999999999</v>
      </c>
      <c r="F19" s="48" t="s">
        <v>212</v>
      </c>
    </row>
    <row r="20" spans="1:6" ht="30">
      <c r="A20" s="20"/>
      <c r="B20" s="2" t="s">
        <v>18</v>
      </c>
      <c r="C20" s="37"/>
      <c r="D20" s="35"/>
      <c r="E20" s="41">
        <f>89484.21+38229.92</f>
        <v>127714.13</v>
      </c>
      <c r="F20" s="48" t="s">
        <v>212</v>
      </c>
    </row>
    <row r="21" spans="1:7" ht="15">
      <c r="A21" s="20"/>
      <c r="B21" s="2" t="s">
        <v>19</v>
      </c>
      <c r="C21" s="37"/>
      <c r="D21" s="35"/>
      <c r="E21" s="41">
        <v>3092.51</v>
      </c>
      <c r="F21" s="48" t="s">
        <v>213</v>
      </c>
      <c r="G21" s="16"/>
    </row>
    <row r="22" spans="1:7" ht="15">
      <c r="A22" s="20"/>
      <c r="B22" s="2" t="s">
        <v>20</v>
      </c>
      <c r="C22" s="37"/>
      <c r="D22" s="35"/>
      <c r="E22" s="41"/>
      <c r="F22" s="48"/>
      <c r="G22" s="16"/>
    </row>
    <row r="23" spans="1:7" ht="15">
      <c r="A23" s="20"/>
      <c r="B23" s="2" t="s">
        <v>21</v>
      </c>
      <c r="C23" s="37"/>
      <c r="D23" s="35"/>
      <c r="E23" s="41"/>
      <c r="F23" s="48"/>
      <c r="G23" s="16"/>
    </row>
    <row r="24" spans="1:7" ht="15">
      <c r="A24" s="20"/>
      <c r="B24" s="2" t="s">
        <v>22</v>
      </c>
      <c r="C24" s="37"/>
      <c r="D24" s="35"/>
      <c r="E24" s="41"/>
      <c r="F24" s="48"/>
      <c r="G24" s="16"/>
    </row>
    <row r="25" spans="1:7" ht="15">
      <c r="A25" s="20"/>
      <c r="B25" s="2" t="s">
        <v>23</v>
      </c>
      <c r="C25" s="37"/>
      <c r="D25" s="35"/>
      <c r="E25" s="41"/>
      <c r="F25" s="48"/>
      <c r="G25" s="16"/>
    </row>
    <row r="26" spans="1:6" ht="15">
      <c r="A26" s="20"/>
      <c r="B26" s="2" t="s">
        <v>30</v>
      </c>
      <c r="C26" s="37"/>
      <c r="D26" s="35"/>
      <c r="E26" s="41"/>
      <c r="F26" s="48"/>
    </row>
    <row r="27" spans="1:8" ht="15">
      <c r="A27" s="17" t="s">
        <v>24</v>
      </c>
      <c r="B27" s="18" t="s">
        <v>25</v>
      </c>
      <c r="C27" s="39"/>
      <c r="D27" s="39">
        <v>260802</v>
      </c>
      <c r="E27" s="40">
        <f>SUM(E28:E39)</f>
        <v>58699</v>
      </c>
      <c r="F27" s="39">
        <f>D27-E27</f>
        <v>202103</v>
      </c>
      <c r="H27" s="9"/>
    </row>
    <row r="28" spans="1:6" ht="15">
      <c r="A28" s="20"/>
      <c r="B28" s="21" t="s">
        <v>13</v>
      </c>
      <c r="C28" s="59"/>
      <c r="D28" s="34"/>
      <c r="E28" s="42"/>
      <c r="F28" s="32"/>
    </row>
    <row r="29" spans="1:6" ht="15">
      <c r="A29" s="20"/>
      <c r="B29" s="2" t="s">
        <v>14</v>
      </c>
      <c r="C29" s="37"/>
      <c r="D29" s="35"/>
      <c r="E29" s="41">
        <v>9280</v>
      </c>
      <c r="F29" s="37"/>
    </row>
    <row r="30" spans="1:8" ht="15">
      <c r="A30" s="20"/>
      <c r="B30" s="2" t="s">
        <v>15</v>
      </c>
      <c r="C30" s="37"/>
      <c r="D30" s="35"/>
      <c r="E30" s="36">
        <v>9870</v>
      </c>
      <c r="F30" s="37"/>
      <c r="H30" s="9"/>
    </row>
    <row r="31" spans="1:8" ht="15">
      <c r="A31" s="20"/>
      <c r="B31" s="2" t="s">
        <v>16</v>
      </c>
      <c r="C31" s="37"/>
      <c r="D31" s="35"/>
      <c r="E31" s="36">
        <v>13280</v>
      </c>
      <c r="F31" s="37"/>
      <c r="H31" s="9"/>
    </row>
    <row r="32" spans="1:8" ht="15">
      <c r="A32" s="20"/>
      <c r="B32" s="2" t="s">
        <v>17</v>
      </c>
      <c r="C32" s="37"/>
      <c r="D32" s="35"/>
      <c r="E32" s="41">
        <v>13280</v>
      </c>
      <c r="F32" s="37" t="s">
        <v>121</v>
      </c>
      <c r="H32" s="9"/>
    </row>
    <row r="33" spans="1:8" ht="15">
      <c r="A33" s="20"/>
      <c r="B33" s="2" t="s">
        <v>18</v>
      </c>
      <c r="C33" s="37"/>
      <c r="D33" s="35"/>
      <c r="E33" s="36">
        <v>12989</v>
      </c>
      <c r="F33" s="37"/>
      <c r="H33" s="9"/>
    </row>
    <row r="34" spans="1:8" ht="15">
      <c r="A34" s="20"/>
      <c r="B34" s="21" t="s">
        <v>19</v>
      </c>
      <c r="C34" s="59"/>
      <c r="D34" s="35"/>
      <c r="E34" s="36"/>
      <c r="F34" s="37"/>
      <c r="H34" s="9"/>
    </row>
    <row r="35" spans="1:9" ht="15">
      <c r="A35" s="20"/>
      <c r="B35" s="2" t="s">
        <v>20</v>
      </c>
      <c r="C35" s="37"/>
      <c r="D35" s="35"/>
      <c r="E35" s="36"/>
      <c r="F35" s="37"/>
      <c r="I35" s="9"/>
    </row>
    <row r="36" spans="1:8" ht="15">
      <c r="A36" s="20"/>
      <c r="B36" s="2" t="s">
        <v>21</v>
      </c>
      <c r="C36" s="37"/>
      <c r="D36" s="35"/>
      <c r="E36" s="41"/>
      <c r="F36" s="37"/>
      <c r="H36" s="9"/>
    </row>
    <row r="37" spans="1:8" ht="15">
      <c r="A37" s="20"/>
      <c r="B37" s="2" t="s">
        <v>22</v>
      </c>
      <c r="C37" s="37"/>
      <c r="D37" s="35"/>
      <c r="E37" s="41"/>
      <c r="F37" s="37"/>
      <c r="H37" s="9"/>
    </row>
    <row r="38" spans="1:8" ht="15">
      <c r="A38" s="20"/>
      <c r="B38" s="2" t="s">
        <v>23</v>
      </c>
      <c r="C38" s="37"/>
      <c r="D38" s="35"/>
      <c r="E38" s="41"/>
      <c r="F38" s="37"/>
      <c r="H38" s="9"/>
    </row>
    <row r="39" spans="1:8" ht="15">
      <c r="A39" s="20"/>
      <c r="B39" s="2" t="s">
        <v>26</v>
      </c>
      <c r="C39" s="37"/>
      <c r="D39" s="35"/>
      <c r="E39" s="41"/>
      <c r="F39" s="37"/>
      <c r="H39" s="9"/>
    </row>
    <row r="40" spans="1:8" ht="26.25">
      <c r="A40" s="17" t="s">
        <v>27</v>
      </c>
      <c r="B40" s="22" t="s">
        <v>28</v>
      </c>
      <c r="C40" s="60"/>
      <c r="D40" s="39">
        <v>60000</v>
      </c>
      <c r="E40" s="40">
        <f>SUM(E41:E52)</f>
        <v>48379</v>
      </c>
      <c r="F40" s="39">
        <f>D40-E40</f>
        <v>11621</v>
      </c>
      <c r="H40" s="9"/>
    </row>
    <row r="41" spans="1:6" ht="15">
      <c r="A41" s="20"/>
      <c r="B41" s="21" t="s">
        <v>13</v>
      </c>
      <c r="C41" s="59"/>
      <c r="D41" s="35"/>
      <c r="E41" s="41">
        <v>4598</v>
      </c>
      <c r="F41" s="27" t="s">
        <v>214</v>
      </c>
    </row>
    <row r="42" spans="1:6" ht="15">
      <c r="A42" s="20"/>
      <c r="B42" s="2" t="s">
        <v>14</v>
      </c>
      <c r="C42" s="37"/>
      <c r="D42" s="35"/>
      <c r="E42" s="41"/>
      <c r="F42" s="27"/>
    </row>
    <row r="43" spans="1:8" ht="15">
      <c r="A43" s="20"/>
      <c r="B43" s="2" t="s">
        <v>15</v>
      </c>
      <c r="C43" s="37"/>
      <c r="D43" s="35"/>
      <c r="E43" s="41">
        <f>13793</f>
        <v>13793</v>
      </c>
      <c r="F43" s="27" t="s">
        <v>279</v>
      </c>
      <c r="H43" s="9"/>
    </row>
    <row r="44" spans="1:6" ht="15">
      <c r="A44" s="20"/>
      <c r="B44" s="2" t="s">
        <v>16</v>
      </c>
      <c r="C44" s="37"/>
      <c r="D44" s="35"/>
      <c r="E44" s="41"/>
      <c r="F44" s="27"/>
    </row>
    <row r="45" spans="1:6" ht="60">
      <c r="A45" s="20"/>
      <c r="B45" s="2" t="s">
        <v>17</v>
      </c>
      <c r="C45" s="37"/>
      <c r="D45" s="35"/>
      <c r="E45" s="41">
        <f>3448+2299+7000+11494</f>
        <v>24241</v>
      </c>
      <c r="F45" s="27" t="s">
        <v>215</v>
      </c>
    </row>
    <row r="46" spans="1:6" ht="30">
      <c r="A46" s="20"/>
      <c r="B46" s="2" t="s">
        <v>18</v>
      </c>
      <c r="C46" s="37"/>
      <c r="D46" s="35"/>
      <c r="E46" s="36">
        <v>5747</v>
      </c>
      <c r="F46" s="27" t="s">
        <v>216</v>
      </c>
    </row>
    <row r="47" spans="1:6" ht="15">
      <c r="A47" s="20"/>
      <c r="B47" s="21" t="s">
        <v>19</v>
      </c>
      <c r="C47" s="59"/>
      <c r="D47" s="35"/>
      <c r="E47" s="43"/>
      <c r="F47" s="100"/>
    </row>
    <row r="48" spans="1:6" ht="15">
      <c r="A48" s="20"/>
      <c r="B48" s="2" t="s">
        <v>20</v>
      </c>
      <c r="C48" s="37"/>
      <c r="D48" s="35"/>
      <c r="E48" s="36"/>
      <c r="F48" s="27"/>
    </row>
    <row r="49" spans="1:6" ht="15">
      <c r="A49" s="20"/>
      <c r="B49" s="2" t="s">
        <v>21</v>
      </c>
      <c r="C49" s="37"/>
      <c r="D49" s="35"/>
      <c r="E49" s="41"/>
      <c r="F49" s="27"/>
    </row>
    <row r="50" spans="1:6" ht="15">
      <c r="A50" s="20"/>
      <c r="B50" s="2" t="s">
        <v>22</v>
      </c>
      <c r="C50" s="37"/>
      <c r="D50" s="35"/>
      <c r="E50" s="36"/>
      <c r="F50" s="27"/>
    </row>
    <row r="51" spans="1:6" ht="15">
      <c r="A51" s="20"/>
      <c r="B51" s="2" t="s">
        <v>23</v>
      </c>
      <c r="C51" s="37"/>
      <c r="D51" s="35"/>
      <c r="E51" s="41"/>
      <c r="F51" s="27"/>
    </row>
    <row r="52" spans="1:6" ht="15">
      <c r="A52" s="20"/>
      <c r="B52" s="2" t="s">
        <v>26</v>
      </c>
      <c r="C52" s="37"/>
      <c r="D52" s="35"/>
      <c r="E52" s="41"/>
      <c r="F52" s="27"/>
    </row>
    <row r="53" spans="1:6" ht="15">
      <c r="A53" s="20" t="s">
        <v>29</v>
      </c>
      <c r="B53" s="58" t="s">
        <v>63</v>
      </c>
      <c r="C53" s="37"/>
      <c r="D53" s="69">
        <v>12000</v>
      </c>
      <c r="E53" s="41"/>
      <c r="F53" s="27"/>
    </row>
    <row r="54" spans="1:6" ht="15">
      <c r="A54" s="20" t="s">
        <v>33</v>
      </c>
      <c r="B54" s="58" t="s">
        <v>67</v>
      </c>
      <c r="C54" s="37"/>
      <c r="D54" s="69">
        <v>14400</v>
      </c>
      <c r="E54" s="41"/>
      <c r="F54" s="27"/>
    </row>
    <row r="55" spans="1:6" ht="15">
      <c r="A55" s="20"/>
      <c r="B55" s="21" t="s">
        <v>13</v>
      </c>
      <c r="C55" s="37"/>
      <c r="D55" s="69"/>
      <c r="E55" s="41"/>
      <c r="F55" s="27"/>
    </row>
    <row r="56" spans="1:6" ht="15">
      <c r="A56" s="20"/>
      <c r="B56" s="21" t="s">
        <v>14</v>
      </c>
      <c r="C56" s="37"/>
      <c r="D56" s="69"/>
      <c r="E56" s="41"/>
      <c r="F56" s="27"/>
    </row>
    <row r="57" spans="1:6" ht="15">
      <c r="A57" s="20"/>
      <c r="B57" s="21" t="s">
        <v>15</v>
      </c>
      <c r="C57" s="37"/>
      <c r="D57" s="69"/>
      <c r="E57" s="41"/>
      <c r="F57" s="27"/>
    </row>
    <row r="58" spans="1:6" ht="15">
      <c r="A58" s="20"/>
      <c r="B58" s="21" t="s">
        <v>16</v>
      </c>
      <c r="C58" s="37"/>
      <c r="D58" s="69"/>
      <c r="E58" s="41"/>
      <c r="F58" s="27"/>
    </row>
    <row r="59" spans="1:6" ht="15">
      <c r="A59" s="20"/>
      <c r="B59" s="21" t="s">
        <v>17</v>
      </c>
      <c r="C59" s="37"/>
      <c r="D59" s="69"/>
      <c r="E59" s="41"/>
      <c r="F59" s="27"/>
    </row>
    <row r="60" spans="1:6" ht="15">
      <c r="A60" s="20"/>
      <c r="B60" s="21" t="s">
        <v>18</v>
      </c>
      <c r="C60" s="37"/>
      <c r="D60" s="69"/>
      <c r="E60" s="41"/>
      <c r="F60" s="27"/>
    </row>
    <row r="61" spans="1:6" ht="15">
      <c r="A61" s="20"/>
      <c r="B61" s="21" t="s">
        <v>19</v>
      </c>
      <c r="C61" s="37"/>
      <c r="D61" s="69"/>
      <c r="E61" s="41"/>
      <c r="F61" s="27"/>
    </row>
    <row r="62" spans="1:6" ht="15">
      <c r="A62" s="20"/>
      <c r="B62" s="21" t="s">
        <v>20</v>
      </c>
      <c r="C62" s="37"/>
      <c r="D62" s="69"/>
      <c r="E62" s="41"/>
      <c r="F62" s="27"/>
    </row>
    <row r="63" spans="1:6" ht="15">
      <c r="A63" s="20"/>
      <c r="B63" s="21" t="s">
        <v>21</v>
      </c>
      <c r="C63" s="37"/>
      <c r="D63" s="69"/>
      <c r="E63" s="41"/>
      <c r="F63" s="27"/>
    </row>
    <row r="64" spans="1:6" ht="15">
      <c r="A64" s="20"/>
      <c r="B64" s="21" t="s">
        <v>22</v>
      </c>
      <c r="C64" s="37"/>
      <c r="D64" s="69"/>
      <c r="E64" s="41"/>
      <c r="F64" s="27"/>
    </row>
    <row r="65" spans="1:6" ht="15">
      <c r="A65" s="20"/>
      <c r="B65" s="21" t="s">
        <v>23</v>
      </c>
      <c r="C65" s="37"/>
      <c r="D65" s="69"/>
      <c r="E65" s="41"/>
      <c r="F65" s="27"/>
    </row>
    <row r="66" spans="1:6" ht="15">
      <c r="A66" s="20"/>
      <c r="B66" s="21" t="s">
        <v>30</v>
      </c>
      <c r="C66" s="37"/>
      <c r="D66" s="69"/>
      <c r="E66" s="41"/>
      <c r="F66" s="27"/>
    </row>
    <row r="67" spans="1:6" ht="15">
      <c r="A67" s="17" t="s">
        <v>35</v>
      </c>
      <c r="B67" s="18" t="s">
        <v>124</v>
      </c>
      <c r="C67" s="39"/>
      <c r="D67" s="39">
        <v>326785</v>
      </c>
      <c r="E67" s="40">
        <f>SUM(E68:E79)</f>
        <v>162157.99</v>
      </c>
      <c r="F67" s="39">
        <f>D67-E67</f>
        <v>164627.01</v>
      </c>
    </row>
    <row r="68" spans="1:6" ht="15">
      <c r="A68" s="20"/>
      <c r="B68" s="21" t="s">
        <v>13</v>
      </c>
      <c r="C68" s="59"/>
      <c r="D68" s="35"/>
      <c r="E68" s="41">
        <f>22018.12+210.99</f>
        <v>22229.11</v>
      </c>
      <c r="F68" s="37"/>
    </row>
    <row r="69" spans="1:6" ht="15">
      <c r="A69" s="20"/>
      <c r="B69" s="2" t="s">
        <v>14</v>
      </c>
      <c r="C69" s="37"/>
      <c r="D69" s="35"/>
      <c r="E69" s="41">
        <f>21531+215.31</f>
        <v>21746.31</v>
      </c>
      <c r="F69" s="37"/>
    </row>
    <row r="70" spans="1:6" ht="15">
      <c r="A70" s="20"/>
      <c r="B70" s="2" t="s">
        <v>15</v>
      </c>
      <c r="C70" s="37"/>
      <c r="D70" s="35"/>
      <c r="E70" s="35">
        <f>25399.3+222.96</f>
        <v>25622.26</v>
      </c>
      <c r="F70" s="37"/>
    </row>
    <row r="71" spans="1:6" ht="15">
      <c r="A71" s="20"/>
      <c r="B71" s="2" t="s">
        <v>16</v>
      </c>
      <c r="C71" s="37"/>
      <c r="D71" s="35"/>
      <c r="E71" s="35">
        <f>23301.94+229.57</f>
        <v>23531.51</v>
      </c>
      <c r="F71" s="37"/>
    </row>
    <row r="72" spans="1:6" ht="15">
      <c r="A72" s="20"/>
      <c r="B72" s="2" t="s">
        <v>17</v>
      </c>
      <c r="C72" s="37"/>
      <c r="D72" s="35"/>
      <c r="E72" s="41">
        <f>28872.31+240.24</f>
        <v>29112.550000000003</v>
      </c>
      <c r="F72" s="37"/>
    </row>
    <row r="73" spans="1:6" ht="15">
      <c r="A73" s="20"/>
      <c r="B73" s="2" t="s">
        <v>18</v>
      </c>
      <c r="C73" s="37"/>
      <c r="D73" s="35"/>
      <c r="E73" s="35">
        <f>39634.84+281.41</f>
        <v>39916.25</v>
      </c>
      <c r="F73" s="37"/>
    </row>
    <row r="74" spans="1:6" ht="15">
      <c r="A74" s="20"/>
      <c r="B74" s="21" t="s">
        <v>19</v>
      </c>
      <c r="C74" s="59"/>
      <c r="D74" s="35"/>
      <c r="E74" s="41"/>
      <c r="F74" s="37"/>
    </row>
    <row r="75" spans="1:6" ht="15">
      <c r="A75" s="20"/>
      <c r="B75" s="2" t="s">
        <v>20</v>
      </c>
      <c r="C75" s="37"/>
      <c r="D75" s="44"/>
      <c r="E75" s="35"/>
      <c r="F75" s="37"/>
    </row>
    <row r="76" spans="1:6" ht="15">
      <c r="A76" s="20"/>
      <c r="B76" s="2" t="s">
        <v>21</v>
      </c>
      <c r="C76" s="37"/>
      <c r="D76" s="35"/>
      <c r="E76" s="35"/>
      <c r="F76" s="37"/>
    </row>
    <row r="77" spans="1:6" ht="15">
      <c r="A77" s="20"/>
      <c r="B77" s="2" t="s">
        <v>22</v>
      </c>
      <c r="C77" s="37"/>
      <c r="D77" s="35"/>
      <c r="E77" s="35"/>
      <c r="F77" s="37"/>
    </row>
    <row r="78" spans="1:6" ht="15">
      <c r="A78" s="20"/>
      <c r="B78" s="2" t="s">
        <v>23</v>
      </c>
      <c r="C78" s="37"/>
      <c r="D78" s="35"/>
      <c r="E78" s="35"/>
      <c r="F78" s="37"/>
    </row>
    <row r="79" spans="1:6" ht="15">
      <c r="A79" s="20"/>
      <c r="B79" s="2" t="s">
        <v>30</v>
      </c>
      <c r="C79" s="37"/>
      <c r="D79" s="35"/>
      <c r="E79" s="35"/>
      <c r="F79" s="37"/>
    </row>
    <row r="80" spans="1:6" ht="15">
      <c r="A80" s="17" t="s">
        <v>55</v>
      </c>
      <c r="B80" s="18" t="s">
        <v>31</v>
      </c>
      <c r="C80" s="39"/>
      <c r="D80" s="39">
        <v>60000</v>
      </c>
      <c r="E80" s="40">
        <f>SUM(E81:E82)</f>
        <v>27236</v>
      </c>
      <c r="F80" s="39">
        <f>D80-E80</f>
        <v>32764</v>
      </c>
    </row>
    <row r="81" spans="1:6" ht="15">
      <c r="A81" s="20"/>
      <c r="B81" s="2" t="s">
        <v>32</v>
      </c>
      <c r="C81" s="37"/>
      <c r="D81" s="35"/>
      <c r="E81" s="36">
        <f>25949+1287</f>
        <v>27236</v>
      </c>
      <c r="F81" s="37" t="s">
        <v>217</v>
      </c>
    </row>
    <row r="82" spans="1:6" ht="15">
      <c r="A82" s="20"/>
      <c r="B82" s="2" t="s">
        <v>133</v>
      </c>
      <c r="C82" s="37"/>
      <c r="D82" s="35"/>
      <c r="E82" s="36"/>
      <c r="F82" s="37"/>
    </row>
    <row r="83" spans="1:6" ht="15">
      <c r="A83" s="17" t="s">
        <v>57</v>
      </c>
      <c r="B83" s="18" t="s">
        <v>34</v>
      </c>
      <c r="C83" s="39"/>
      <c r="D83" s="39">
        <v>30000</v>
      </c>
      <c r="E83" s="40">
        <f>SUM(E84:E95)</f>
        <v>7008.1</v>
      </c>
      <c r="F83" s="39">
        <f>D83-E83</f>
        <v>22991.9</v>
      </c>
    </row>
    <row r="84" spans="1:6" ht="15">
      <c r="A84" s="20"/>
      <c r="B84" s="21" t="s">
        <v>13</v>
      </c>
      <c r="C84" s="59"/>
      <c r="D84" s="35"/>
      <c r="E84" s="41">
        <v>1826.43</v>
      </c>
      <c r="F84" s="37"/>
    </row>
    <row r="85" spans="1:6" ht="15">
      <c r="A85" s="20"/>
      <c r="B85" s="2" t="s">
        <v>14</v>
      </c>
      <c r="C85" s="37"/>
      <c r="D85" s="35"/>
      <c r="E85" s="41">
        <v>932.62</v>
      </c>
      <c r="F85" s="37"/>
    </row>
    <row r="86" spans="1:6" ht="15">
      <c r="A86" s="20"/>
      <c r="B86" s="2" t="s">
        <v>15</v>
      </c>
      <c r="C86" s="37"/>
      <c r="D86" s="35"/>
      <c r="E86" s="45">
        <v>838.49</v>
      </c>
      <c r="F86" s="37"/>
    </row>
    <row r="87" spans="1:6" ht="15">
      <c r="A87" s="20"/>
      <c r="B87" s="2" t="s">
        <v>16</v>
      </c>
      <c r="C87" s="37"/>
      <c r="D87" s="35"/>
      <c r="E87" s="45">
        <v>1023.35</v>
      </c>
      <c r="F87" s="37"/>
    </row>
    <row r="88" spans="1:6" ht="15">
      <c r="A88" s="20"/>
      <c r="B88" s="2" t="s">
        <v>17</v>
      </c>
      <c r="C88" s="37"/>
      <c r="D88" s="35"/>
      <c r="E88" s="35">
        <v>1018.88</v>
      </c>
      <c r="F88" s="37"/>
    </row>
    <row r="89" spans="1:6" ht="15">
      <c r="A89" s="20"/>
      <c r="B89" s="2" t="s">
        <v>18</v>
      </c>
      <c r="C89" s="37"/>
      <c r="D89" s="35"/>
      <c r="E89" s="35">
        <v>1203.33</v>
      </c>
      <c r="F89" s="37"/>
    </row>
    <row r="90" spans="1:6" ht="15">
      <c r="A90" s="20"/>
      <c r="B90" s="21" t="s">
        <v>19</v>
      </c>
      <c r="C90" s="59"/>
      <c r="D90" s="35"/>
      <c r="E90" s="35">
        <v>165</v>
      </c>
      <c r="F90" s="37"/>
    </row>
    <row r="91" spans="1:6" ht="15">
      <c r="A91" s="20"/>
      <c r="B91" s="2" t="s">
        <v>20</v>
      </c>
      <c r="C91" s="37"/>
      <c r="D91" s="35"/>
      <c r="E91" s="35"/>
      <c r="F91" s="37"/>
    </row>
    <row r="92" spans="1:6" ht="15">
      <c r="A92" s="20"/>
      <c r="B92" s="2" t="s">
        <v>21</v>
      </c>
      <c r="C92" s="37"/>
      <c r="D92" s="44"/>
      <c r="E92" s="35"/>
      <c r="F92" s="37"/>
    </row>
    <row r="93" spans="1:6" ht="15">
      <c r="A93" s="20"/>
      <c r="B93" s="2" t="s">
        <v>22</v>
      </c>
      <c r="C93" s="37"/>
      <c r="D93" s="35"/>
      <c r="E93" s="35"/>
      <c r="F93" s="37"/>
    </row>
    <row r="94" spans="1:6" ht="15">
      <c r="A94" s="20"/>
      <c r="B94" s="2" t="s">
        <v>23</v>
      </c>
      <c r="C94" s="37"/>
      <c r="D94" s="35"/>
      <c r="E94" s="35"/>
      <c r="F94" s="37"/>
    </row>
    <row r="95" spans="1:6" ht="15">
      <c r="A95" s="20"/>
      <c r="B95" s="2" t="s">
        <v>30</v>
      </c>
      <c r="C95" s="37"/>
      <c r="D95" s="35"/>
      <c r="E95" s="35"/>
      <c r="F95" s="37"/>
    </row>
    <row r="96" spans="1:6" ht="15">
      <c r="A96" s="17" t="s">
        <v>59</v>
      </c>
      <c r="B96" s="18" t="s">
        <v>36</v>
      </c>
      <c r="C96" s="39"/>
      <c r="D96" s="39">
        <v>12000</v>
      </c>
      <c r="E96" s="39">
        <f>SUM(E97:E126)</f>
        <v>3793.24</v>
      </c>
      <c r="F96" s="39">
        <f>D96-E96</f>
        <v>8206.76</v>
      </c>
    </row>
    <row r="97" spans="1:6" ht="15">
      <c r="A97" s="20"/>
      <c r="B97" s="21" t="s">
        <v>37</v>
      </c>
      <c r="C97" s="59"/>
      <c r="D97" s="35"/>
      <c r="E97" s="35">
        <v>475.73</v>
      </c>
      <c r="F97" s="37"/>
    </row>
    <row r="98" spans="1:6" ht="15">
      <c r="A98" s="20"/>
      <c r="B98" s="21" t="s">
        <v>117</v>
      </c>
      <c r="C98" s="59"/>
      <c r="D98" s="35"/>
      <c r="E98" s="35"/>
      <c r="F98" s="37"/>
    </row>
    <row r="99" spans="1:6" ht="15">
      <c r="A99" s="20"/>
      <c r="B99" s="2" t="s">
        <v>38</v>
      </c>
      <c r="C99" s="37"/>
      <c r="D99" s="35"/>
      <c r="E99" s="35">
        <v>483.89</v>
      </c>
      <c r="F99" s="37"/>
    </row>
    <row r="100" spans="1:6" ht="15">
      <c r="A100" s="20"/>
      <c r="B100" s="2" t="s">
        <v>39</v>
      </c>
      <c r="C100" s="37"/>
      <c r="D100" s="35"/>
      <c r="E100" s="35"/>
      <c r="F100" s="37"/>
    </row>
    <row r="101" spans="1:6" ht="15">
      <c r="A101" s="20"/>
      <c r="B101" s="2" t="s">
        <v>40</v>
      </c>
      <c r="C101" s="37"/>
      <c r="D101" s="35"/>
      <c r="E101" s="35">
        <v>638.58</v>
      </c>
      <c r="F101" s="37"/>
    </row>
    <row r="102" spans="1:6" ht="15">
      <c r="A102" s="20"/>
      <c r="B102" s="2" t="s">
        <v>41</v>
      </c>
      <c r="C102" s="37"/>
      <c r="D102" s="35"/>
      <c r="E102" s="35"/>
      <c r="F102" s="37"/>
    </row>
    <row r="103" spans="1:8" ht="15">
      <c r="A103" s="20"/>
      <c r="B103" s="2" t="s">
        <v>42</v>
      </c>
      <c r="C103" s="37"/>
      <c r="D103" s="63"/>
      <c r="E103" s="63">
        <v>370.22</v>
      </c>
      <c r="F103" s="37"/>
      <c r="H103" s="9"/>
    </row>
    <row r="104" spans="1:8" ht="15">
      <c r="A104" s="20"/>
      <c r="B104" s="2" t="s">
        <v>148</v>
      </c>
      <c r="C104" s="105"/>
      <c r="D104" s="106"/>
      <c r="E104" s="44"/>
      <c r="F104" s="37"/>
      <c r="H104" s="9"/>
    </row>
    <row r="105" spans="1:6" ht="15">
      <c r="A105" s="20"/>
      <c r="B105" s="2" t="s">
        <v>44</v>
      </c>
      <c r="C105" s="37"/>
      <c r="D105" s="96"/>
      <c r="E105" s="35">
        <v>749.5</v>
      </c>
      <c r="F105" s="37"/>
    </row>
    <row r="106" spans="1:6" ht="15">
      <c r="A106" s="20"/>
      <c r="B106" s="2" t="s">
        <v>43</v>
      </c>
      <c r="C106" s="37"/>
      <c r="D106" s="107"/>
      <c r="E106" s="35"/>
      <c r="F106" s="37"/>
    </row>
    <row r="107" spans="1:6" ht="15">
      <c r="A107" s="20"/>
      <c r="B107" s="2" t="s">
        <v>45</v>
      </c>
      <c r="C107" s="105"/>
      <c r="D107" s="106"/>
      <c r="E107" s="44">
        <v>405.95</v>
      </c>
      <c r="F107" s="37"/>
    </row>
    <row r="108" spans="1:6" ht="15">
      <c r="A108" s="20"/>
      <c r="B108" s="2" t="s">
        <v>46</v>
      </c>
      <c r="C108" s="37"/>
      <c r="D108" s="96"/>
      <c r="E108" s="35"/>
      <c r="F108" s="37"/>
    </row>
    <row r="109" spans="1:6" ht="15">
      <c r="A109" s="20"/>
      <c r="B109" s="21" t="s">
        <v>126</v>
      </c>
      <c r="C109" s="59"/>
      <c r="D109" s="35"/>
      <c r="E109" s="35">
        <v>669.37</v>
      </c>
      <c r="F109" s="37"/>
    </row>
    <row r="110" spans="1:6" ht="15">
      <c r="A110" s="20"/>
      <c r="B110" s="21" t="s">
        <v>47</v>
      </c>
      <c r="C110" s="59"/>
      <c r="D110" s="35"/>
      <c r="E110" s="45"/>
      <c r="F110" s="37"/>
    </row>
    <row r="111" spans="1:6" ht="15">
      <c r="A111" s="20"/>
      <c r="B111" s="2" t="s">
        <v>48</v>
      </c>
      <c r="C111" s="37"/>
      <c r="D111" s="44"/>
      <c r="E111" s="35"/>
      <c r="F111" s="37"/>
    </row>
    <row r="112" spans="1:6" ht="15">
      <c r="A112" s="20"/>
      <c r="B112" s="2" t="s">
        <v>49</v>
      </c>
      <c r="C112" s="37"/>
      <c r="D112" s="35"/>
      <c r="E112" s="45"/>
      <c r="F112" s="37"/>
    </row>
    <row r="113" spans="1:6" ht="15">
      <c r="A113" s="20"/>
      <c r="B113" s="2" t="s">
        <v>21</v>
      </c>
      <c r="C113" s="37"/>
      <c r="D113" s="35"/>
      <c r="E113" s="45"/>
      <c r="F113" s="37"/>
    </row>
    <row r="114" spans="1:6" ht="15">
      <c r="A114" s="20"/>
      <c r="B114" s="2" t="s">
        <v>50</v>
      </c>
      <c r="C114" s="37"/>
      <c r="D114" s="35"/>
      <c r="E114" s="46"/>
      <c r="F114" s="37"/>
    </row>
    <row r="115" spans="1:6" ht="15">
      <c r="A115" s="20"/>
      <c r="B115" s="2" t="s">
        <v>51</v>
      </c>
      <c r="C115" s="37"/>
      <c r="D115" s="35"/>
      <c r="E115" s="35"/>
      <c r="F115" s="37"/>
    </row>
    <row r="116" spans="1:7" ht="15">
      <c r="A116" s="20"/>
      <c r="B116" s="2" t="s">
        <v>52</v>
      </c>
      <c r="C116" s="37"/>
      <c r="D116" s="35"/>
      <c r="E116" s="45"/>
      <c r="F116" s="37"/>
      <c r="G116" s="16"/>
    </row>
    <row r="117" spans="1:6" ht="15">
      <c r="A117" s="20"/>
      <c r="B117" s="2" t="s">
        <v>53</v>
      </c>
      <c r="C117" s="37"/>
      <c r="D117" s="44"/>
      <c r="E117" s="35"/>
      <c r="F117" s="37"/>
    </row>
    <row r="118" spans="1:6" ht="15">
      <c r="A118" s="20"/>
      <c r="B118" s="2" t="s">
        <v>54</v>
      </c>
      <c r="C118" s="37"/>
      <c r="D118" s="35"/>
      <c r="E118" s="45"/>
      <c r="F118" s="37"/>
    </row>
    <row r="119" spans="1:6" ht="15">
      <c r="A119" s="20"/>
      <c r="B119" s="58" t="s">
        <v>118</v>
      </c>
      <c r="C119" s="37"/>
      <c r="D119" s="35"/>
      <c r="E119" s="45"/>
      <c r="F119" s="37"/>
    </row>
    <row r="120" spans="1:6" ht="15">
      <c r="A120" s="20"/>
      <c r="B120" s="21" t="s">
        <v>13</v>
      </c>
      <c r="C120" s="37"/>
      <c r="D120" s="35"/>
      <c r="E120" s="35"/>
      <c r="F120" s="37"/>
    </row>
    <row r="121" spans="1:6" ht="15">
      <c r="A121" s="20"/>
      <c r="B121" s="21" t="s">
        <v>14</v>
      </c>
      <c r="C121" s="37"/>
      <c r="D121" s="35"/>
      <c r="E121" s="35"/>
      <c r="F121" s="37"/>
    </row>
    <row r="122" spans="1:6" ht="15">
      <c r="A122" s="20"/>
      <c r="B122" s="21" t="s">
        <v>15</v>
      </c>
      <c r="C122" s="37"/>
      <c r="D122" s="35"/>
      <c r="E122" s="35"/>
      <c r="F122" s="37"/>
    </row>
    <row r="123" spans="1:6" ht="15">
      <c r="A123" s="20"/>
      <c r="B123" s="21" t="s">
        <v>16</v>
      </c>
      <c r="C123" s="37"/>
      <c r="D123" s="35"/>
      <c r="E123" s="35"/>
      <c r="F123" s="37"/>
    </row>
    <row r="124" spans="1:6" ht="15">
      <c r="A124" s="20"/>
      <c r="B124" s="21" t="s">
        <v>17</v>
      </c>
      <c r="C124" s="37"/>
      <c r="D124" s="35"/>
      <c r="E124" s="35"/>
      <c r="F124" s="37"/>
    </row>
    <row r="125" spans="1:6" ht="15">
      <c r="A125" s="20"/>
      <c r="B125" s="21" t="s">
        <v>18</v>
      </c>
      <c r="C125" s="37"/>
      <c r="D125" s="35"/>
      <c r="E125" s="35"/>
      <c r="F125" s="37"/>
    </row>
    <row r="126" spans="1:6" ht="15">
      <c r="A126" s="20"/>
      <c r="B126" s="21" t="s">
        <v>19</v>
      </c>
      <c r="C126" s="37"/>
      <c r="D126" s="35"/>
      <c r="E126" s="35"/>
      <c r="F126" s="37"/>
    </row>
    <row r="127" spans="1:6" ht="15">
      <c r="A127" s="17" t="s">
        <v>62</v>
      </c>
      <c r="B127" s="18" t="s">
        <v>56</v>
      </c>
      <c r="C127" s="39"/>
      <c r="D127" s="39">
        <v>108000</v>
      </c>
      <c r="E127" s="39">
        <f>SUM(E128:E138)</f>
        <v>57913.600000000006</v>
      </c>
      <c r="F127" s="39">
        <f>D127-E127</f>
        <v>50086.399999999994</v>
      </c>
    </row>
    <row r="128" spans="1:6" ht="15">
      <c r="A128" s="20"/>
      <c r="B128" s="21" t="s">
        <v>13</v>
      </c>
      <c r="C128" s="59"/>
      <c r="D128" s="35"/>
      <c r="E128" s="35">
        <f>1250*2</f>
        <v>2500</v>
      </c>
      <c r="F128" s="37"/>
    </row>
    <row r="129" spans="1:6" ht="15">
      <c r="A129" s="20"/>
      <c r="B129" s="2" t="s">
        <v>14</v>
      </c>
      <c r="C129" s="37"/>
      <c r="D129" s="35"/>
      <c r="E129" s="35">
        <v>8561.52</v>
      </c>
      <c r="F129" s="37"/>
    </row>
    <row r="130" spans="1:6" ht="15">
      <c r="A130" s="20"/>
      <c r="B130" s="2" t="s">
        <v>15</v>
      </c>
      <c r="C130" s="37"/>
      <c r="D130" s="35"/>
      <c r="E130" s="35"/>
      <c r="F130" s="37"/>
    </row>
    <row r="131" spans="1:7" ht="15">
      <c r="A131" s="20"/>
      <c r="B131" s="2" t="s">
        <v>16</v>
      </c>
      <c r="C131" s="37"/>
      <c r="D131" s="35"/>
      <c r="E131" s="35">
        <f>17121.04+1350</f>
        <v>18471.04</v>
      </c>
      <c r="F131" s="37"/>
      <c r="G131" s="16"/>
    </row>
    <row r="132" spans="1:7" ht="15">
      <c r="A132" s="20"/>
      <c r="B132" s="2" t="s">
        <v>17</v>
      </c>
      <c r="C132" s="37"/>
      <c r="D132" s="63"/>
      <c r="E132" s="63">
        <f>8560.52+2700</f>
        <v>11260.52</v>
      </c>
      <c r="F132" s="37"/>
      <c r="G132" s="16"/>
    </row>
    <row r="133" spans="1:7" ht="15">
      <c r="A133" s="20"/>
      <c r="B133" s="2" t="s">
        <v>18</v>
      </c>
      <c r="C133" s="105"/>
      <c r="D133" s="106"/>
      <c r="E133" s="44">
        <v>8560</v>
      </c>
      <c r="F133" s="37"/>
      <c r="G133" s="16"/>
    </row>
    <row r="134" spans="1:7" ht="15">
      <c r="A134" s="20"/>
      <c r="B134" s="21" t="s">
        <v>19</v>
      </c>
      <c r="C134" s="59"/>
      <c r="D134" s="96"/>
      <c r="E134" s="35">
        <v>8560.52</v>
      </c>
      <c r="F134" s="37"/>
      <c r="G134" s="16"/>
    </row>
    <row r="135" spans="1:7" ht="15">
      <c r="A135" s="20"/>
      <c r="B135" s="2" t="s">
        <v>20</v>
      </c>
      <c r="C135" s="37"/>
      <c r="D135" s="35"/>
      <c r="E135" s="45"/>
      <c r="F135" s="37"/>
      <c r="G135" s="16"/>
    </row>
    <row r="136" spans="1:6" ht="15">
      <c r="A136" s="20"/>
      <c r="B136" s="2" t="s">
        <v>21</v>
      </c>
      <c r="C136" s="37"/>
      <c r="D136" s="35"/>
      <c r="E136" s="45"/>
      <c r="F136" s="37"/>
    </row>
    <row r="137" spans="1:6" ht="15">
      <c r="A137" s="20"/>
      <c r="B137" s="2" t="s">
        <v>22</v>
      </c>
      <c r="C137" s="37"/>
      <c r="D137" s="35"/>
      <c r="E137" s="35"/>
      <c r="F137" s="37"/>
    </row>
    <row r="138" spans="1:6" ht="15">
      <c r="A138" s="20"/>
      <c r="B138" s="2" t="s">
        <v>23</v>
      </c>
      <c r="C138" s="37"/>
      <c r="D138" s="35"/>
      <c r="E138" s="45"/>
      <c r="F138" s="37"/>
    </row>
    <row r="139" spans="1:6" ht="15">
      <c r="A139" s="25" t="s">
        <v>64</v>
      </c>
      <c r="B139" s="18" t="s">
        <v>58</v>
      </c>
      <c r="C139" s="39"/>
      <c r="D139" s="39">
        <v>42000</v>
      </c>
      <c r="E139" s="39">
        <f>SUM(E140:E151)</f>
        <v>0</v>
      </c>
      <c r="F139" s="39">
        <f>D139-E139</f>
        <v>42000</v>
      </c>
    </row>
    <row r="140" spans="1:6" ht="15">
      <c r="A140" s="20"/>
      <c r="B140" s="21" t="s">
        <v>13</v>
      </c>
      <c r="C140" s="59"/>
      <c r="D140" s="11"/>
      <c r="E140" s="11"/>
      <c r="F140" s="13"/>
    </row>
    <row r="141" spans="1:6" ht="15">
      <c r="A141" s="20"/>
      <c r="B141" s="2" t="s">
        <v>14</v>
      </c>
      <c r="C141" s="37"/>
      <c r="D141" s="26"/>
      <c r="E141" s="26"/>
      <c r="F141" s="27"/>
    </row>
    <row r="142" spans="1:7" ht="15">
      <c r="A142" s="20"/>
      <c r="B142" s="2" t="s">
        <v>15</v>
      </c>
      <c r="C142" s="37"/>
      <c r="D142" s="26"/>
      <c r="E142" s="26"/>
      <c r="F142" s="27"/>
      <c r="G142" s="16"/>
    </row>
    <row r="143" spans="1:7" ht="15">
      <c r="A143" s="20"/>
      <c r="B143" s="2" t="s">
        <v>16</v>
      </c>
      <c r="C143" s="37"/>
      <c r="D143" s="11"/>
      <c r="E143" s="11"/>
      <c r="F143" s="27"/>
      <c r="G143" s="16"/>
    </row>
    <row r="144" spans="1:8" ht="15">
      <c r="A144" s="20"/>
      <c r="B144" s="2" t="s">
        <v>17</v>
      </c>
      <c r="C144" s="37"/>
      <c r="D144" s="26"/>
      <c r="E144" s="26"/>
      <c r="F144" s="27"/>
      <c r="G144" s="16"/>
      <c r="H144" s="16"/>
    </row>
    <row r="145" spans="1:7" ht="15">
      <c r="A145" s="20"/>
      <c r="B145" s="2" t="s">
        <v>18</v>
      </c>
      <c r="C145" s="37"/>
      <c r="D145" s="11"/>
      <c r="E145" s="11"/>
      <c r="F145" s="13"/>
      <c r="G145" s="16"/>
    </row>
    <row r="146" spans="1:7" ht="15">
      <c r="A146" s="20"/>
      <c r="B146" s="21" t="s">
        <v>19</v>
      </c>
      <c r="C146" s="59"/>
      <c r="D146" s="11"/>
      <c r="E146" s="11"/>
      <c r="F146" s="27"/>
      <c r="G146" s="16"/>
    </row>
    <row r="147" spans="1:7" ht="15">
      <c r="A147" s="20"/>
      <c r="B147" s="2" t="s">
        <v>20</v>
      </c>
      <c r="C147" s="37"/>
      <c r="D147" s="11"/>
      <c r="E147" s="11"/>
      <c r="F147" s="13"/>
      <c r="G147" s="16"/>
    </row>
    <row r="148" spans="1:6" ht="15">
      <c r="A148" s="20"/>
      <c r="B148" s="2" t="s">
        <v>21</v>
      </c>
      <c r="C148" s="37"/>
      <c r="D148" s="11"/>
      <c r="E148" s="11"/>
      <c r="F148" s="13"/>
    </row>
    <row r="149" spans="1:7" ht="15">
      <c r="A149" s="20"/>
      <c r="B149" s="2" t="s">
        <v>22</v>
      </c>
      <c r="C149" s="37"/>
      <c r="D149" s="11"/>
      <c r="E149" s="11"/>
      <c r="F149" s="13"/>
      <c r="G149" s="16"/>
    </row>
    <row r="150" spans="1:6" ht="15">
      <c r="A150" s="20"/>
      <c r="B150" s="2" t="s">
        <v>23</v>
      </c>
      <c r="C150" s="37"/>
      <c r="D150" s="11"/>
      <c r="E150" s="11"/>
      <c r="F150" s="13"/>
    </row>
    <row r="151" spans="1:6" ht="15">
      <c r="A151" s="20"/>
      <c r="B151" s="2" t="s">
        <v>30</v>
      </c>
      <c r="C151" s="37"/>
      <c r="D151" s="11"/>
      <c r="E151" s="11"/>
      <c r="F151" s="13"/>
    </row>
    <row r="152" spans="1:6" ht="15">
      <c r="A152" s="25" t="s">
        <v>66</v>
      </c>
      <c r="B152" s="18" t="s">
        <v>60</v>
      </c>
      <c r="C152" s="39"/>
      <c r="D152" s="19">
        <v>44000</v>
      </c>
      <c r="E152" s="19">
        <f>SUM(E153:E164)</f>
        <v>0</v>
      </c>
      <c r="F152" s="19">
        <f>D152-E152</f>
        <v>44000</v>
      </c>
    </row>
    <row r="153" spans="1:6" ht="15">
      <c r="A153" s="20"/>
      <c r="B153" s="21" t="s">
        <v>13</v>
      </c>
      <c r="C153" s="59"/>
      <c r="D153" s="11"/>
      <c r="E153" s="11"/>
      <c r="F153" s="13"/>
    </row>
    <row r="154" spans="1:6" ht="15">
      <c r="A154" s="20"/>
      <c r="B154" s="2" t="s">
        <v>14</v>
      </c>
      <c r="C154" s="37"/>
      <c r="D154" s="11"/>
      <c r="E154" s="11"/>
      <c r="F154" s="13"/>
    </row>
    <row r="155" spans="1:6" ht="15">
      <c r="A155" s="20"/>
      <c r="B155" s="2" t="s">
        <v>15</v>
      </c>
      <c r="C155" s="37"/>
      <c r="D155" s="26"/>
      <c r="E155" s="26"/>
      <c r="F155" s="27"/>
    </row>
    <row r="156" spans="1:6" ht="15">
      <c r="A156" s="20"/>
      <c r="B156" s="2" t="s">
        <v>16</v>
      </c>
      <c r="C156" s="37"/>
      <c r="D156" s="11"/>
      <c r="E156" s="11"/>
      <c r="F156" s="13"/>
    </row>
    <row r="157" spans="1:6" ht="15">
      <c r="A157" s="20"/>
      <c r="B157" s="2" t="s">
        <v>17</v>
      </c>
      <c r="C157" s="37"/>
      <c r="D157" s="11"/>
      <c r="E157" s="11"/>
      <c r="F157" s="13"/>
    </row>
    <row r="158" spans="1:7" ht="15">
      <c r="A158" s="20"/>
      <c r="B158" s="2" t="s">
        <v>18</v>
      </c>
      <c r="C158" s="37"/>
      <c r="D158" s="11"/>
      <c r="E158" s="11"/>
      <c r="F158" s="27"/>
      <c r="G158" s="16"/>
    </row>
    <row r="159" spans="1:7" ht="15">
      <c r="A159" s="20"/>
      <c r="B159" s="21" t="s">
        <v>19</v>
      </c>
      <c r="C159" s="59"/>
      <c r="D159" s="11"/>
      <c r="E159" s="11"/>
      <c r="F159" s="27"/>
      <c r="G159" s="16"/>
    </row>
    <row r="160" spans="1:6" ht="15">
      <c r="A160" s="20"/>
      <c r="B160" s="2" t="s">
        <v>20</v>
      </c>
      <c r="C160" s="37"/>
      <c r="D160" s="11"/>
      <c r="E160" s="11"/>
      <c r="F160" s="13"/>
    </row>
    <row r="161" spans="1:7" ht="15">
      <c r="A161" s="20"/>
      <c r="B161" s="2" t="s">
        <v>21</v>
      </c>
      <c r="C161" s="37"/>
      <c r="D161" s="11"/>
      <c r="E161" s="11"/>
      <c r="F161" s="13"/>
      <c r="G161" s="16"/>
    </row>
    <row r="162" spans="1:6" ht="15">
      <c r="A162" s="20"/>
      <c r="B162" s="2" t="s">
        <v>22</v>
      </c>
      <c r="C162" s="37"/>
      <c r="D162" s="11"/>
      <c r="E162" s="11"/>
      <c r="F162" s="13"/>
    </row>
    <row r="163" spans="1:7" ht="15">
      <c r="A163" s="20"/>
      <c r="B163" s="2" t="s">
        <v>23</v>
      </c>
      <c r="C163" s="37"/>
      <c r="D163" s="11"/>
      <c r="E163" s="11"/>
      <c r="F163" s="27"/>
      <c r="G163" s="16"/>
    </row>
    <row r="164" spans="1:7" ht="15">
      <c r="A164" s="20"/>
      <c r="B164" s="2" t="s">
        <v>30</v>
      </c>
      <c r="C164" s="37"/>
      <c r="D164" s="11"/>
      <c r="E164" s="11"/>
      <c r="F164" s="27"/>
      <c r="G164" s="16"/>
    </row>
    <row r="165" spans="1:6" ht="15">
      <c r="A165" s="25" t="s">
        <v>68</v>
      </c>
      <c r="B165" s="18" t="s">
        <v>218</v>
      </c>
      <c r="C165" s="39"/>
      <c r="D165" s="19">
        <v>9600</v>
      </c>
      <c r="E165" s="19"/>
      <c r="F165" s="19">
        <f aca="true" t="shared" si="0" ref="F165:F171">D165-E165</f>
        <v>9600</v>
      </c>
    </row>
    <row r="166" spans="1:6" ht="15">
      <c r="A166" s="25" t="s">
        <v>219</v>
      </c>
      <c r="B166" s="18" t="s">
        <v>65</v>
      </c>
      <c r="C166" s="39"/>
      <c r="D166" s="19">
        <v>12000</v>
      </c>
      <c r="E166" s="19"/>
      <c r="F166" s="19">
        <f t="shared" si="0"/>
        <v>12000</v>
      </c>
    </row>
    <row r="167" spans="1:6" ht="15">
      <c r="A167" s="25" t="s">
        <v>220</v>
      </c>
      <c r="B167" s="18" t="s">
        <v>221</v>
      </c>
      <c r="C167" s="39"/>
      <c r="D167" s="19">
        <v>14000</v>
      </c>
      <c r="E167" s="19">
        <v>12000</v>
      </c>
      <c r="F167" s="19">
        <f t="shared" si="0"/>
        <v>2000</v>
      </c>
    </row>
    <row r="168" spans="1:7" ht="15">
      <c r="A168" s="20" t="s">
        <v>222</v>
      </c>
      <c r="B168" s="58" t="s">
        <v>223</v>
      </c>
      <c r="C168" s="59"/>
      <c r="D168" s="101">
        <v>61838.88</v>
      </c>
      <c r="E168" s="102">
        <f>5153.24*6</f>
        <v>30919.44</v>
      </c>
      <c r="F168" s="19">
        <f t="shared" si="0"/>
        <v>30919.44</v>
      </c>
      <c r="G168" s="16"/>
    </row>
    <row r="169" spans="1:7" ht="15">
      <c r="A169" s="20" t="s">
        <v>224</v>
      </c>
      <c r="B169" s="58" t="s">
        <v>225</v>
      </c>
      <c r="C169" s="37"/>
      <c r="D169" s="101">
        <v>6000</v>
      </c>
      <c r="E169" s="24"/>
      <c r="F169" s="19">
        <f t="shared" si="0"/>
        <v>6000</v>
      </c>
      <c r="G169" s="16"/>
    </row>
    <row r="170" spans="1:7" ht="18.75">
      <c r="A170" s="20"/>
      <c r="B170" s="6" t="s">
        <v>9</v>
      </c>
      <c r="C170" s="37"/>
      <c r="D170" s="103">
        <f>SUM(D14:D169)</f>
        <v>2344825.88</v>
      </c>
      <c r="E170" s="103">
        <f>SUM(E14,E27,E40,E67,E80,E83,E96,E127,E139,E152,E165,E166,E167,E168,E169)</f>
        <v>1052762.5</v>
      </c>
      <c r="F170" s="19">
        <f t="shared" si="0"/>
        <v>1292063.38</v>
      </c>
      <c r="G170" s="16"/>
    </row>
    <row r="171" spans="1:6" ht="15">
      <c r="A171" s="17" t="s">
        <v>228</v>
      </c>
      <c r="B171" s="18" t="s">
        <v>69</v>
      </c>
      <c r="C171" s="39"/>
      <c r="D171" s="39">
        <v>120000</v>
      </c>
      <c r="E171" s="39">
        <f>SUM(E172:E184)</f>
        <v>69420.98</v>
      </c>
      <c r="F171" s="39">
        <f t="shared" si="0"/>
        <v>50579.020000000004</v>
      </c>
    </row>
    <row r="172" spans="1:6" ht="15">
      <c r="A172" s="20"/>
      <c r="B172" s="21" t="s">
        <v>13</v>
      </c>
      <c r="C172" s="59"/>
      <c r="D172" s="35"/>
      <c r="E172" s="35">
        <f>5407.51+5778.87+12</f>
        <v>11198.380000000001</v>
      </c>
      <c r="F172" s="37"/>
    </row>
    <row r="173" spans="1:6" ht="15">
      <c r="A173" s="20"/>
      <c r="B173" s="2" t="s">
        <v>14</v>
      </c>
      <c r="C173" s="37"/>
      <c r="D173" s="35"/>
      <c r="E173" s="35">
        <f>5737.47+6101.58+12</f>
        <v>11851.05</v>
      </c>
      <c r="F173" s="37"/>
    </row>
    <row r="174" spans="1:6" ht="15">
      <c r="A174" s="20"/>
      <c r="B174" s="2" t="s">
        <v>15</v>
      </c>
      <c r="C174" s="37"/>
      <c r="D174" s="35"/>
      <c r="E174" s="35">
        <f>5576.9+5886.73+12</f>
        <v>11475.63</v>
      </c>
      <c r="F174" s="37"/>
    </row>
    <row r="175" spans="1:6" ht="15">
      <c r="A175" s="20"/>
      <c r="B175" s="2" t="s">
        <v>16</v>
      </c>
      <c r="C175" s="37"/>
      <c r="D175" s="35"/>
      <c r="E175" s="35">
        <f>5731.85+6127.04+12</f>
        <v>11870.89</v>
      </c>
      <c r="F175" s="37"/>
    </row>
    <row r="176" spans="1:6" ht="15">
      <c r="A176" s="20"/>
      <c r="B176" s="2" t="s">
        <v>17</v>
      </c>
      <c r="C176" s="37"/>
      <c r="D176" s="35"/>
      <c r="E176" s="35">
        <f>5328.48+5643.13+12</f>
        <v>10983.61</v>
      </c>
      <c r="F176" s="37"/>
    </row>
    <row r="177" spans="1:6" ht="15">
      <c r="A177" s="20"/>
      <c r="B177" s="2" t="s">
        <v>18</v>
      </c>
      <c r="C177" s="37"/>
      <c r="D177" s="35"/>
      <c r="E177" s="35">
        <f>5859.74+6169.68+12</f>
        <v>12041.42</v>
      </c>
      <c r="F177" s="37"/>
    </row>
    <row r="178" spans="1:6" ht="15">
      <c r="A178" s="20"/>
      <c r="B178" s="21" t="s">
        <v>19</v>
      </c>
      <c r="C178" s="59"/>
      <c r="D178" s="35"/>
      <c r="E178" s="35"/>
      <c r="F178" s="37"/>
    </row>
    <row r="179" spans="1:6" ht="15">
      <c r="A179" s="20"/>
      <c r="B179" s="2" t="s">
        <v>20</v>
      </c>
      <c r="C179" s="37"/>
      <c r="D179" s="35"/>
      <c r="E179" s="35"/>
      <c r="F179" s="37"/>
    </row>
    <row r="180" spans="1:6" ht="15">
      <c r="A180" s="20"/>
      <c r="B180" s="2" t="s">
        <v>21</v>
      </c>
      <c r="C180" s="37"/>
      <c r="D180" s="35"/>
      <c r="E180" s="35"/>
      <c r="F180" s="37"/>
    </row>
    <row r="181" spans="1:6" ht="15">
      <c r="A181" s="20"/>
      <c r="B181" s="2" t="s">
        <v>22</v>
      </c>
      <c r="C181" s="37"/>
      <c r="D181" s="35"/>
      <c r="E181" s="35"/>
      <c r="F181" s="37"/>
    </row>
    <row r="182" spans="1:6" ht="15">
      <c r="A182" s="20"/>
      <c r="B182" s="2" t="s">
        <v>23</v>
      </c>
      <c r="C182" s="37"/>
      <c r="D182" s="35"/>
      <c r="E182" s="35"/>
      <c r="F182" s="37"/>
    </row>
    <row r="183" spans="1:6" ht="15">
      <c r="A183" s="20"/>
      <c r="B183" s="2" t="s">
        <v>30</v>
      </c>
      <c r="C183" s="37"/>
      <c r="D183" s="35"/>
      <c r="E183" s="35"/>
      <c r="F183" s="37"/>
    </row>
    <row r="184" spans="1:6" ht="15.75">
      <c r="A184" s="20"/>
      <c r="B184" s="10"/>
      <c r="C184" s="37"/>
      <c r="D184" s="11"/>
      <c r="E184" s="11"/>
      <c r="F184" s="13"/>
    </row>
    <row r="185" spans="1:6" ht="15.75">
      <c r="A185" s="20" t="s">
        <v>70</v>
      </c>
      <c r="B185" s="10" t="s">
        <v>71</v>
      </c>
      <c r="C185" s="61"/>
      <c r="D185" s="11"/>
      <c r="E185" s="11"/>
      <c r="F185" s="13"/>
    </row>
    <row r="186" spans="1:6" ht="15">
      <c r="A186" s="109" t="s">
        <v>232</v>
      </c>
      <c r="B186" s="18" t="s">
        <v>73</v>
      </c>
      <c r="C186" s="39"/>
      <c r="D186" s="39">
        <f>SUM(D187:D192)</f>
        <v>272000</v>
      </c>
      <c r="E186" s="39">
        <f>SUM(E187:E192)</f>
        <v>3449</v>
      </c>
      <c r="F186" s="39">
        <f>D186-E186</f>
        <v>268551</v>
      </c>
    </row>
    <row r="187" spans="1:7" ht="60">
      <c r="A187" s="20" t="s">
        <v>233</v>
      </c>
      <c r="B187" s="47" t="s">
        <v>230</v>
      </c>
      <c r="C187" s="37"/>
      <c r="D187" s="35">
        <v>36000</v>
      </c>
      <c r="E187" s="35"/>
      <c r="F187" s="48"/>
      <c r="G187" s="16"/>
    </row>
    <row r="188" spans="1:9" ht="45">
      <c r="A188" s="20" t="s">
        <v>234</v>
      </c>
      <c r="B188" s="47" t="s">
        <v>231</v>
      </c>
      <c r="C188" s="37"/>
      <c r="D188" s="35">
        <v>94600</v>
      </c>
      <c r="E188" s="35"/>
      <c r="F188" s="48"/>
      <c r="G188" s="16"/>
      <c r="I188" s="16"/>
    </row>
    <row r="189" spans="1:7" ht="45">
      <c r="A189" s="20" t="s">
        <v>235</v>
      </c>
      <c r="B189" s="108" t="s">
        <v>236</v>
      </c>
      <c r="C189" s="62"/>
      <c r="D189" s="35">
        <v>14400</v>
      </c>
      <c r="E189" s="49"/>
      <c r="F189" s="48"/>
      <c r="G189" s="16"/>
    </row>
    <row r="190" spans="1:7" ht="45">
      <c r="A190" s="20" t="s">
        <v>237</v>
      </c>
      <c r="B190" s="14" t="s">
        <v>238</v>
      </c>
      <c r="C190" s="62"/>
      <c r="D190" s="35">
        <v>45000</v>
      </c>
      <c r="E190" s="49"/>
      <c r="F190" s="48"/>
      <c r="G190" s="16"/>
    </row>
    <row r="191" spans="1:6" ht="60">
      <c r="A191" s="20" t="s">
        <v>239</v>
      </c>
      <c r="B191" s="14" t="s">
        <v>103</v>
      </c>
      <c r="C191" s="62"/>
      <c r="D191" s="35">
        <v>6000</v>
      </c>
      <c r="E191" s="49">
        <f>1724+1725</f>
        <v>3449</v>
      </c>
      <c r="F191" s="48" t="s">
        <v>280</v>
      </c>
    </row>
    <row r="192" spans="1:7" ht="30">
      <c r="A192" s="20" t="s">
        <v>240</v>
      </c>
      <c r="B192" s="14" t="s">
        <v>104</v>
      </c>
      <c r="C192" s="62"/>
      <c r="D192" s="35">
        <v>76000</v>
      </c>
      <c r="E192" s="49"/>
      <c r="F192" s="37"/>
      <c r="G192" s="16"/>
    </row>
    <row r="193" spans="1:7" ht="30">
      <c r="A193" s="20" t="s">
        <v>241</v>
      </c>
      <c r="B193" s="14" t="s">
        <v>242</v>
      </c>
      <c r="C193" s="62"/>
      <c r="D193" s="35">
        <v>12000</v>
      </c>
      <c r="E193" s="49"/>
      <c r="F193" s="37"/>
      <c r="G193" s="16"/>
    </row>
    <row r="194" spans="1:6" ht="15">
      <c r="A194" s="109" t="s">
        <v>243</v>
      </c>
      <c r="B194" s="22" t="s">
        <v>76</v>
      </c>
      <c r="C194" s="60"/>
      <c r="D194" s="39">
        <f>SUM(D195:D197)</f>
        <v>168630</v>
      </c>
      <c r="E194" s="39">
        <f>SUM(E195:E197)</f>
        <v>0</v>
      </c>
      <c r="F194" s="39">
        <f>D194-E194</f>
        <v>168630</v>
      </c>
    </row>
    <row r="195" spans="1:7" ht="45">
      <c r="A195" s="20" t="s">
        <v>244</v>
      </c>
      <c r="B195" s="14" t="s">
        <v>245</v>
      </c>
      <c r="C195" s="62"/>
      <c r="D195" s="50">
        <v>154230</v>
      </c>
      <c r="E195" s="51"/>
      <c r="F195" s="13"/>
      <c r="G195" s="16"/>
    </row>
    <row r="196" spans="1:7" ht="45">
      <c r="A196" s="20" t="s">
        <v>246</v>
      </c>
      <c r="B196" s="14" t="s">
        <v>247</v>
      </c>
      <c r="C196" s="62"/>
      <c r="D196" s="50">
        <v>2400</v>
      </c>
      <c r="E196" s="51"/>
      <c r="F196" s="13"/>
      <c r="G196" s="16"/>
    </row>
    <row r="197" spans="1:7" ht="75">
      <c r="A197" s="20" t="s">
        <v>248</v>
      </c>
      <c r="B197" s="14" t="s">
        <v>249</v>
      </c>
      <c r="C197" s="62"/>
      <c r="D197" s="50">
        <v>12000</v>
      </c>
      <c r="E197" s="51"/>
      <c r="F197" s="13"/>
      <c r="G197" s="16"/>
    </row>
    <row r="198" spans="1:6" ht="15">
      <c r="A198" s="109" t="s">
        <v>250</v>
      </c>
      <c r="B198" s="22" t="s">
        <v>81</v>
      </c>
      <c r="C198" s="60"/>
      <c r="D198" s="52">
        <f>SUM(D199:D206)</f>
        <v>172800</v>
      </c>
      <c r="E198" s="52">
        <f>SUM(E199:E206)</f>
        <v>0</v>
      </c>
      <c r="F198" s="19">
        <f aca="true" t="shared" si="1" ref="F198:F221">D198-E198</f>
        <v>172800</v>
      </c>
    </row>
    <row r="199" spans="1:9" ht="15">
      <c r="A199" s="20" t="s">
        <v>251</v>
      </c>
      <c r="B199" s="14" t="s">
        <v>107</v>
      </c>
      <c r="C199" s="62"/>
      <c r="D199" s="50">
        <v>60000</v>
      </c>
      <c r="E199" s="51"/>
      <c r="F199" s="13">
        <f t="shared" si="1"/>
        <v>60000</v>
      </c>
      <c r="G199" s="16"/>
      <c r="I199" s="16"/>
    </row>
    <row r="200" spans="1:7" ht="30">
      <c r="A200" s="20" t="s">
        <v>252</v>
      </c>
      <c r="B200" s="14" t="s">
        <v>253</v>
      </c>
      <c r="C200" s="62"/>
      <c r="D200" s="50">
        <v>57000</v>
      </c>
      <c r="E200" s="51"/>
      <c r="F200" s="13">
        <f t="shared" si="1"/>
        <v>57000</v>
      </c>
      <c r="G200" s="16"/>
    </row>
    <row r="201" spans="1:7" ht="30">
      <c r="A201" s="20" t="s">
        <v>254</v>
      </c>
      <c r="B201" s="14" t="s">
        <v>255</v>
      </c>
      <c r="C201" s="62"/>
      <c r="D201" s="50">
        <v>12000</v>
      </c>
      <c r="E201" s="51"/>
      <c r="F201" s="13"/>
      <c r="G201" s="16"/>
    </row>
    <row r="202" spans="1:6" ht="30">
      <c r="A202" s="20" t="s">
        <v>256</v>
      </c>
      <c r="B202" s="14" t="s">
        <v>83</v>
      </c>
      <c r="C202" s="62"/>
      <c r="D202" s="50">
        <v>6000</v>
      </c>
      <c r="E202" s="51"/>
      <c r="F202" s="13">
        <f t="shared" si="1"/>
        <v>6000</v>
      </c>
    </row>
    <row r="203" spans="1:6" ht="30">
      <c r="A203" s="20" t="s">
        <v>257</v>
      </c>
      <c r="B203" s="14" t="s">
        <v>84</v>
      </c>
      <c r="C203" s="62"/>
      <c r="D203" s="50">
        <v>1800</v>
      </c>
      <c r="E203" s="51"/>
      <c r="F203" s="13">
        <f t="shared" si="1"/>
        <v>1800</v>
      </c>
    </row>
    <row r="204" spans="1:9" ht="15">
      <c r="A204" s="20" t="s">
        <v>258</v>
      </c>
      <c r="B204" s="14" t="s">
        <v>181</v>
      </c>
      <c r="C204" s="62"/>
      <c r="D204" s="50">
        <v>24000</v>
      </c>
      <c r="E204" s="51"/>
      <c r="F204" s="13">
        <f t="shared" si="1"/>
        <v>24000</v>
      </c>
      <c r="G204" s="28"/>
      <c r="I204" s="16"/>
    </row>
    <row r="205" spans="1:7" ht="30">
      <c r="A205" s="20" t="s">
        <v>259</v>
      </c>
      <c r="B205" s="14" t="s">
        <v>85</v>
      </c>
      <c r="C205" s="62"/>
      <c r="D205" s="50">
        <v>9000</v>
      </c>
      <c r="E205" s="51"/>
      <c r="F205" s="13">
        <f t="shared" si="1"/>
        <v>9000</v>
      </c>
      <c r="G205" s="16"/>
    </row>
    <row r="206" spans="1:7" ht="15">
      <c r="A206" s="20" t="s">
        <v>260</v>
      </c>
      <c r="B206" s="14" t="s">
        <v>109</v>
      </c>
      <c r="C206" s="62"/>
      <c r="D206" s="50">
        <v>3000</v>
      </c>
      <c r="E206" s="51"/>
      <c r="F206" s="13">
        <f t="shared" si="1"/>
        <v>3000</v>
      </c>
      <c r="G206" s="16"/>
    </row>
    <row r="207" spans="1:7" ht="15">
      <c r="A207" s="20" t="s">
        <v>261</v>
      </c>
      <c r="B207" s="14" t="s">
        <v>262</v>
      </c>
      <c r="C207" s="62"/>
      <c r="D207" s="50">
        <v>5000</v>
      </c>
      <c r="E207" s="51"/>
      <c r="F207" s="13">
        <f t="shared" si="1"/>
        <v>5000</v>
      </c>
      <c r="G207" s="16"/>
    </row>
    <row r="208" spans="1:6" ht="15">
      <c r="A208" s="109" t="s">
        <v>263</v>
      </c>
      <c r="B208" s="22" t="s">
        <v>87</v>
      </c>
      <c r="C208" s="60"/>
      <c r="D208" s="52">
        <f>SUM(D209:D218)</f>
        <v>107640</v>
      </c>
      <c r="E208" s="52">
        <f>SUM(E209:E218)</f>
        <v>0</v>
      </c>
      <c r="F208" s="19">
        <f t="shared" si="1"/>
        <v>107640</v>
      </c>
    </row>
    <row r="209" spans="1:12" ht="45">
      <c r="A209" s="20" t="s">
        <v>264</v>
      </c>
      <c r="B209" s="14" t="s">
        <v>110</v>
      </c>
      <c r="C209" s="62"/>
      <c r="D209" s="50">
        <v>72000</v>
      </c>
      <c r="E209" s="53"/>
      <c r="F209" s="13"/>
      <c r="I209" s="16"/>
      <c r="L209" s="16"/>
    </row>
    <row r="210" spans="1:10" ht="30">
      <c r="A210" s="20" t="s">
        <v>265</v>
      </c>
      <c r="B210" s="14" t="s">
        <v>111</v>
      </c>
      <c r="C210" s="62"/>
      <c r="D210" s="50">
        <v>7200</v>
      </c>
      <c r="E210" s="51"/>
      <c r="F210" s="13"/>
      <c r="G210" s="16"/>
      <c r="H210" s="16"/>
      <c r="J210" s="16"/>
    </row>
    <row r="211" spans="1:10" ht="15">
      <c r="A211" s="20" t="s">
        <v>266</v>
      </c>
      <c r="B211" s="14" t="s">
        <v>112</v>
      </c>
      <c r="C211" s="62"/>
      <c r="D211" s="50">
        <v>5000</v>
      </c>
      <c r="E211" s="51"/>
      <c r="F211" s="13"/>
      <c r="H211" s="16"/>
      <c r="J211" s="16"/>
    </row>
    <row r="212" spans="1:10" ht="15">
      <c r="A212" s="20" t="s">
        <v>267</v>
      </c>
      <c r="B212" s="14" t="s">
        <v>113</v>
      </c>
      <c r="C212" s="62"/>
      <c r="D212" s="50">
        <v>1800</v>
      </c>
      <c r="E212" s="51"/>
      <c r="F212" s="13"/>
      <c r="G212" s="16"/>
      <c r="J212" s="16"/>
    </row>
    <row r="213" spans="1:6" ht="60">
      <c r="A213" s="20" t="s">
        <v>269</v>
      </c>
      <c r="B213" s="14" t="s">
        <v>114</v>
      </c>
      <c r="C213" s="62"/>
      <c r="D213" s="50">
        <v>3600</v>
      </c>
      <c r="E213" s="51"/>
      <c r="F213" s="13"/>
    </row>
    <row r="214" spans="1:7" ht="15">
      <c r="A214" s="20" t="s">
        <v>270</v>
      </c>
      <c r="B214" s="14" t="s">
        <v>115</v>
      </c>
      <c r="C214" s="62"/>
      <c r="D214" s="50">
        <v>3000</v>
      </c>
      <c r="E214" s="51"/>
      <c r="F214" s="13"/>
      <c r="G214" s="16"/>
    </row>
    <row r="215" spans="1:8" ht="45">
      <c r="A215" s="20" t="s">
        <v>271</v>
      </c>
      <c r="B215" s="14" t="s">
        <v>119</v>
      </c>
      <c r="C215" s="62"/>
      <c r="D215" s="50">
        <v>3600</v>
      </c>
      <c r="E215" s="51"/>
      <c r="F215" s="13"/>
      <c r="H215" s="16"/>
    </row>
    <row r="216" spans="1:6" ht="15">
      <c r="A216" s="20" t="s">
        <v>272</v>
      </c>
      <c r="B216" s="14" t="s">
        <v>89</v>
      </c>
      <c r="C216" s="62"/>
      <c r="D216" s="50">
        <v>960</v>
      </c>
      <c r="E216" s="51"/>
      <c r="F216" s="27"/>
    </row>
    <row r="217" spans="1:6" ht="15">
      <c r="A217" s="20" t="s">
        <v>273</v>
      </c>
      <c r="B217" s="14" t="s">
        <v>90</v>
      </c>
      <c r="C217" s="62"/>
      <c r="D217" s="50">
        <v>480</v>
      </c>
      <c r="E217" s="51"/>
      <c r="F217" s="13"/>
    </row>
    <row r="218" spans="1:6" ht="15">
      <c r="A218" s="20" t="s">
        <v>274</v>
      </c>
      <c r="B218" s="14" t="s">
        <v>268</v>
      </c>
      <c r="C218" s="62"/>
      <c r="D218" s="50">
        <v>10000</v>
      </c>
      <c r="E218" s="51"/>
      <c r="F218" s="13"/>
    </row>
    <row r="219" spans="1:6" ht="15">
      <c r="A219" s="20" t="s">
        <v>275</v>
      </c>
      <c r="B219" s="14" t="s">
        <v>88</v>
      </c>
      <c r="C219" s="62"/>
      <c r="D219" s="50">
        <v>4500</v>
      </c>
      <c r="E219" s="51"/>
      <c r="F219" s="13"/>
    </row>
    <row r="220" spans="1:6" ht="39">
      <c r="A220" s="109" t="s">
        <v>276</v>
      </c>
      <c r="B220" s="22" t="s">
        <v>116</v>
      </c>
      <c r="C220" s="60"/>
      <c r="D220" s="52">
        <v>24000</v>
      </c>
      <c r="E220" s="52"/>
      <c r="F220" s="19">
        <f t="shared" si="1"/>
        <v>24000</v>
      </c>
    </row>
    <row r="221" spans="1:6" ht="15">
      <c r="A221" s="109" t="s">
        <v>277</v>
      </c>
      <c r="B221" s="22" t="s">
        <v>93</v>
      </c>
      <c r="C221" s="60"/>
      <c r="D221" s="52">
        <v>61900</v>
      </c>
      <c r="E221" s="52">
        <f>SUM(E222:E235)</f>
        <v>0</v>
      </c>
      <c r="F221" s="19">
        <f t="shared" si="1"/>
        <v>61900</v>
      </c>
    </row>
    <row r="222" spans="1:6" ht="15">
      <c r="A222" s="2"/>
      <c r="B222" s="2" t="s">
        <v>120</v>
      </c>
      <c r="C222" s="37"/>
      <c r="D222" s="50"/>
      <c r="E222" s="50"/>
      <c r="F222" s="2"/>
    </row>
    <row r="223" spans="1:6" ht="15">
      <c r="A223" s="2"/>
      <c r="B223" s="2" t="s">
        <v>127</v>
      </c>
      <c r="C223" s="37"/>
      <c r="D223" s="50"/>
      <c r="E223" s="53"/>
      <c r="F223" s="2"/>
    </row>
    <row r="224" spans="1:6" ht="15">
      <c r="A224" s="2"/>
      <c r="B224" s="2" t="s">
        <v>128</v>
      </c>
      <c r="C224" s="37"/>
      <c r="D224" s="50"/>
      <c r="E224" s="53"/>
      <c r="F224" s="2"/>
    </row>
    <row r="225" spans="1:6" ht="15">
      <c r="A225" s="2"/>
      <c r="B225" s="2" t="s">
        <v>129</v>
      </c>
      <c r="C225" s="37"/>
      <c r="D225" s="50"/>
      <c r="E225" s="53"/>
      <c r="F225" s="2"/>
    </row>
    <row r="226" spans="1:6" ht="15">
      <c r="A226" s="2"/>
      <c r="B226" s="2" t="s">
        <v>156</v>
      </c>
      <c r="C226" s="37"/>
      <c r="D226" s="50"/>
      <c r="E226" s="53"/>
      <c r="F226" s="2"/>
    </row>
    <row r="227" spans="1:6" ht="15">
      <c r="A227" s="2"/>
      <c r="B227" s="2" t="s">
        <v>149</v>
      </c>
      <c r="C227" s="37"/>
      <c r="D227" s="50"/>
      <c r="E227" s="53"/>
      <c r="F227" s="2"/>
    </row>
    <row r="228" spans="1:6" ht="15">
      <c r="A228" s="2"/>
      <c r="B228" s="2"/>
      <c r="C228" s="37"/>
      <c r="D228" s="50"/>
      <c r="E228" s="50"/>
      <c r="F228" s="2"/>
    </row>
    <row r="229" spans="1:6" ht="13.5" customHeight="1">
      <c r="A229" s="2"/>
      <c r="B229" s="2"/>
      <c r="C229" s="37"/>
      <c r="D229" s="50"/>
      <c r="E229" s="50"/>
      <c r="F229" s="2"/>
    </row>
    <row r="230" spans="1:6" ht="15">
      <c r="A230" s="2"/>
      <c r="B230" s="2"/>
      <c r="C230" s="37"/>
      <c r="D230" s="50"/>
      <c r="E230" s="53"/>
      <c r="F230" s="2"/>
    </row>
    <row r="231" spans="1:6" ht="15">
      <c r="A231" s="2"/>
      <c r="B231" s="2"/>
      <c r="C231" s="37"/>
      <c r="D231" s="50"/>
      <c r="E231" s="53"/>
      <c r="F231" s="2"/>
    </row>
    <row r="232" spans="1:6" ht="15">
      <c r="A232" s="2"/>
      <c r="B232" s="2"/>
      <c r="C232" s="37"/>
      <c r="D232" s="50"/>
      <c r="E232" s="53"/>
      <c r="F232" s="2"/>
    </row>
    <row r="233" spans="1:6" ht="15">
      <c r="A233" s="2"/>
      <c r="B233" s="2"/>
      <c r="C233" s="37"/>
      <c r="D233" s="50"/>
      <c r="E233" s="53"/>
      <c r="F233" s="2"/>
    </row>
    <row r="234" spans="1:6" ht="15">
      <c r="A234" s="2"/>
      <c r="B234" s="2"/>
      <c r="C234" s="37"/>
      <c r="D234" s="50"/>
      <c r="E234" s="54"/>
      <c r="F234" s="2"/>
    </row>
    <row r="235" spans="1:6" ht="15">
      <c r="A235" s="2"/>
      <c r="B235" s="2"/>
      <c r="C235" s="37"/>
      <c r="D235" s="50"/>
      <c r="E235" s="54"/>
      <c r="F235" s="2"/>
    </row>
    <row r="236" spans="1:6" ht="15">
      <c r="A236" s="4"/>
      <c r="B236" s="4" t="s">
        <v>94</v>
      </c>
      <c r="C236" s="32"/>
      <c r="D236" s="55"/>
      <c r="E236" s="55">
        <f>E221+E220+E208+E198+E194+E186+E167+E166+E165+E152+E139+E127+E96+E83+E80+E67+E40+E27+E14</f>
        <v>1025292.06</v>
      </c>
      <c r="F236" s="4"/>
    </row>
    <row r="237" spans="1:6" ht="18">
      <c r="A237" s="2"/>
      <c r="B237" s="29" t="s">
        <v>9</v>
      </c>
      <c r="C237" s="37"/>
      <c r="D237" s="56"/>
      <c r="E237" s="57">
        <f>SUM(E236:E236)</f>
        <v>1025292.06</v>
      </c>
      <c r="F237" s="2"/>
    </row>
    <row r="238" ht="15">
      <c r="F238" s="30"/>
    </row>
    <row r="239" spans="2:6" ht="15">
      <c r="B239" t="s">
        <v>95</v>
      </c>
      <c r="F239">
        <v>7717.98</v>
      </c>
    </row>
    <row r="240" ht="15">
      <c r="F240" s="30"/>
    </row>
    <row r="241" ht="15">
      <c r="F241" s="30"/>
    </row>
    <row r="242" spans="2:6" ht="15">
      <c r="B242" t="s">
        <v>96</v>
      </c>
      <c r="F242" s="30" t="s">
        <v>130</v>
      </c>
    </row>
    <row r="243" ht="15">
      <c r="F243" s="30"/>
    </row>
    <row r="244" spans="5:6" ht="15">
      <c r="E244" s="64"/>
      <c r="F244" s="74">
        <f>E4-(E236+F239)</f>
        <v>464856.84999999986</v>
      </c>
    </row>
    <row r="245" spans="5:6" ht="15">
      <c r="E245" s="64"/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  <row r="394" ht="15">
      <c r="F394" s="30"/>
    </row>
    <row r="395" ht="15">
      <c r="F395" s="30"/>
    </row>
    <row r="396" ht="15">
      <c r="F396" s="30"/>
    </row>
    <row r="397" ht="15">
      <c r="F397" s="30"/>
    </row>
    <row r="398" ht="15">
      <c r="F398" s="30"/>
    </row>
  </sheetData>
  <sheetProtection/>
  <mergeCells count="3">
    <mergeCell ref="A1:F1"/>
    <mergeCell ref="A2:B2"/>
    <mergeCell ref="D2:F2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tabSelected="1" zoomScalePageLayoutView="0" workbookViewId="0" topLeftCell="A1">
      <selection activeCell="E215" sqref="E215"/>
    </sheetView>
  </sheetViews>
  <sheetFormatPr defaultColWidth="9.140625" defaultRowHeight="15"/>
  <cols>
    <col min="2" max="2" width="41.281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31" customWidth="1"/>
    <col min="7" max="7" width="9.57421875" style="0" customWidth="1"/>
    <col min="8" max="9" width="10.57421875" style="0" customWidth="1"/>
  </cols>
  <sheetData>
    <row r="1" spans="1:6" ht="50.25" customHeight="1">
      <c r="A1" s="165" t="s">
        <v>460</v>
      </c>
      <c r="B1" s="165"/>
      <c r="C1" s="165"/>
      <c r="D1" s="165"/>
      <c r="E1" s="165"/>
      <c r="F1" s="165"/>
    </row>
    <row r="2" spans="1:6" ht="15">
      <c r="A2" s="168" t="s">
        <v>291</v>
      </c>
      <c r="B2" s="166"/>
      <c r="C2" s="1"/>
      <c r="D2" s="169" t="s">
        <v>288</v>
      </c>
      <c r="E2" s="167"/>
      <c r="F2" s="167"/>
    </row>
    <row r="3" spans="1:6" ht="51.75">
      <c r="A3" s="2"/>
      <c r="B3" s="2"/>
      <c r="C3" s="3" t="s">
        <v>461</v>
      </c>
      <c r="D3" s="4" t="s">
        <v>1</v>
      </c>
      <c r="E3" s="5" t="s">
        <v>297</v>
      </c>
      <c r="F3" s="4" t="s">
        <v>462</v>
      </c>
    </row>
    <row r="4" spans="1:6" ht="17.25" customHeight="1">
      <c r="A4" s="6">
        <v>1</v>
      </c>
      <c r="B4" s="2" t="s">
        <v>123</v>
      </c>
      <c r="C4" s="32">
        <v>599438.23</v>
      </c>
      <c r="D4" s="32">
        <f>3966296.63-5179.12</f>
        <v>3961117.51</v>
      </c>
      <c r="E4" s="33">
        <f>4432452.71-5179.12</f>
        <v>4427273.59</v>
      </c>
      <c r="F4" s="99">
        <f>C4+D4-E4</f>
        <v>133282.15000000037</v>
      </c>
    </row>
    <row r="5" spans="1:6" ht="17.25" customHeight="1">
      <c r="A5" s="75"/>
      <c r="B5" s="65"/>
      <c r="C5" s="66"/>
      <c r="D5" s="67"/>
      <c r="E5" s="68"/>
      <c r="F5" s="67"/>
    </row>
    <row r="6" spans="1:7" ht="39" customHeight="1">
      <c r="A6" s="4" t="s">
        <v>3</v>
      </c>
      <c r="B6" s="7"/>
      <c r="C6" s="7"/>
      <c r="D6" s="7" t="s">
        <v>445</v>
      </c>
      <c r="E6" s="8" t="s">
        <v>1</v>
      </c>
      <c r="F6" s="7" t="s">
        <v>5</v>
      </c>
      <c r="G6" s="9"/>
    </row>
    <row r="7" spans="1:9" ht="15.75">
      <c r="A7" s="6"/>
      <c r="B7" s="10" t="s">
        <v>6</v>
      </c>
      <c r="C7" s="10"/>
      <c r="D7" s="38"/>
      <c r="E7" s="38"/>
      <c r="F7" s="38"/>
      <c r="I7" s="9"/>
    </row>
    <row r="8" spans="1:6" ht="30">
      <c r="A8" s="6">
        <v>2</v>
      </c>
      <c r="B8" s="47" t="s">
        <v>99</v>
      </c>
      <c r="C8" s="2"/>
      <c r="D8" s="70">
        <v>3015264</v>
      </c>
      <c r="E8" s="70">
        <f>3086095.45-247711.4+307000+293000</f>
        <v>3438384.0500000003</v>
      </c>
      <c r="F8" s="32">
        <f>D8-E8</f>
        <v>-423120.0500000003</v>
      </c>
    </row>
    <row r="9" spans="1:9" ht="30">
      <c r="A9" s="6">
        <v>3</v>
      </c>
      <c r="B9" s="14" t="s">
        <v>7</v>
      </c>
      <c r="C9" s="14"/>
      <c r="D9" s="70">
        <v>235200</v>
      </c>
      <c r="E9" s="71">
        <f>162379.58+13271.41+49564.2+26720</f>
        <v>251935.19</v>
      </c>
      <c r="F9" s="32">
        <f>C9+D9-E9</f>
        <v>-16735.190000000002</v>
      </c>
      <c r="I9" s="9"/>
    </row>
    <row r="10" spans="1:9" ht="30">
      <c r="A10" s="6">
        <v>4</v>
      </c>
      <c r="B10" s="14" t="s">
        <v>229</v>
      </c>
      <c r="C10" s="14"/>
      <c r="D10" s="70"/>
      <c r="E10" s="71">
        <v>16860.87</v>
      </c>
      <c r="F10" s="32"/>
      <c r="I10" s="9"/>
    </row>
    <row r="11" spans="1:9" ht="15">
      <c r="A11" s="6">
        <v>5</v>
      </c>
      <c r="B11" s="47" t="s">
        <v>307</v>
      </c>
      <c r="C11" s="14"/>
      <c r="D11" s="70"/>
      <c r="E11" s="71">
        <v>2376</v>
      </c>
      <c r="F11" s="32"/>
      <c r="I11" s="9"/>
    </row>
    <row r="12" spans="1:9" ht="15">
      <c r="A12" s="130">
        <v>6</v>
      </c>
      <c r="B12" s="47" t="s">
        <v>443</v>
      </c>
      <c r="C12" s="14"/>
      <c r="D12" s="53"/>
      <c r="E12" s="53">
        <f>29627.32+23681.01+194403.07</f>
        <v>247711.40000000002</v>
      </c>
      <c r="F12" s="32"/>
      <c r="I12" s="9"/>
    </row>
    <row r="13" spans="1:9" ht="15">
      <c r="A13" s="140">
        <v>7</v>
      </c>
      <c r="B13" s="47" t="s">
        <v>444</v>
      </c>
      <c r="C13" s="14"/>
      <c r="D13" s="53"/>
      <c r="E13" s="53">
        <v>3850</v>
      </c>
      <c r="F13" s="32"/>
      <c r="I13" s="9"/>
    </row>
    <row r="14" spans="1:9" ht="15">
      <c r="A14" s="6"/>
      <c r="B14" s="15" t="s">
        <v>9</v>
      </c>
      <c r="C14" s="15"/>
      <c r="D14" s="104">
        <f>SUM(D8:D10)</f>
        <v>3250464</v>
      </c>
      <c r="E14" s="104">
        <f>SUM(E8:E13)</f>
        <v>3961117.5100000002</v>
      </c>
      <c r="F14" s="104">
        <f>SUM(F8:F10)</f>
        <v>-439855.2400000003</v>
      </c>
      <c r="I14" s="9"/>
    </row>
    <row r="15" spans="1:9" ht="15">
      <c r="A15" s="4" t="s">
        <v>3</v>
      </c>
      <c r="B15" s="4"/>
      <c r="C15" s="4"/>
      <c r="D15" s="72" t="s">
        <v>445</v>
      </c>
      <c r="E15" s="73" t="s">
        <v>297</v>
      </c>
      <c r="F15" s="7" t="s">
        <v>5</v>
      </c>
      <c r="I15" s="9"/>
    </row>
    <row r="16" spans="1:9" ht="15.75">
      <c r="A16" s="6"/>
      <c r="B16" s="10" t="s">
        <v>10</v>
      </c>
      <c r="C16" s="10"/>
      <c r="D16" s="11"/>
      <c r="E16" s="12"/>
      <c r="F16" s="13"/>
      <c r="I16" s="9"/>
    </row>
    <row r="17" spans="1:12" ht="15">
      <c r="A17" s="141" t="s">
        <v>324</v>
      </c>
      <c r="B17" s="18" t="s">
        <v>12</v>
      </c>
      <c r="C17" s="39"/>
      <c r="D17" s="39">
        <v>1500000</v>
      </c>
      <c r="E17" s="40">
        <f>SUM(E18:E29)</f>
        <v>1428763.3800000001</v>
      </c>
      <c r="F17" s="39">
        <f>D17-E17</f>
        <v>71236.61999999988</v>
      </c>
      <c r="L17" s="16"/>
    </row>
    <row r="18" spans="1:8" ht="15">
      <c r="A18" s="20"/>
      <c r="B18" s="2" t="s">
        <v>13</v>
      </c>
      <c r="C18" s="37"/>
      <c r="D18" s="34"/>
      <c r="E18" s="41">
        <v>145582.08</v>
      </c>
      <c r="F18" s="131" t="s">
        <v>313</v>
      </c>
      <c r="G18">
        <v>10000</v>
      </c>
      <c r="H18" s="9"/>
    </row>
    <row r="19" spans="1:7" ht="15">
      <c r="A19" s="20"/>
      <c r="B19" s="2" t="s">
        <v>14</v>
      </c>
      <c r="C19" s="37"/>
      <c r="D19" s="35"/>
      <c r="E19" s="41">
        <v>120702.2</v>
      </c>
      <c r="F19" s="131" t="s">
        <v>301</v>
      </c>
      <c r="G19">
        <v>10000</v>
      </c>
    </row>
    <row r="20" spans="1:7" ht="15">
      <c r="A20" s="20"/>
      <c r="B20" s="2" t="s">
        <v>15</v>
      </c>
      <c r="C20" s="37"/>
      <c r="D20" s="35"/>
      <c r="E20" s="41">
        <v>110203</v>
      </c>
      <c r="F20" s="131" t="s">
        <v>298</v>
      </c>
      <c r="G20">
        <v>14271</v>
      </c>
    </row>
    <row r="21" spans="1:9" ht="15">
      <c r="A21" s="20"/>
      <c r="B21" s="2" t="s">
        <v>16</v>
      </c>
      <c r="C21" s="37"/>
      <c r="D21" s="35"/>
      <c r="E21" s="41">
        <v>106867</v>
      </c>
      <c r="F21" s="131"/>
      <c r="I21" s="9"/>
    </row>
    <row r="22" spans="1:8" ht="15">
      <c r="A22" s="20"/>
      <c r="B22" s="2" t="s">
        <v>17</v>
      </c>
      <c r="C22" s="37"/>
      <c r="D22" s="35"/>
      <c r="E22" s="41">
        <v>115656</v>
      </c>
      <c r="F22" s="132" t="s">
        <v>226</v>
      </c>
      <c r="G22">
        <v>9478</v>
      </c>
      <c r="H22" s="9"/>
    </row>
    <row r="23" spans="1:7" ht="15">
      <c r="A23" s="20"/>
      <c r="B23" s="2" t="s">
        <v>18</v>
      </c>
      <c r="C23" s="37"/>
      <c r="D23" s="35"/>
      <c r="E23" s="41">
        <f>4962.58+145168.19</f>
        <v>150130.77</v>
      </c>
      <c r="F23" s="132" t="s">
        <v>301</v>
      </c>
      <c r="G23">
        <v>15000</v>
      </c>
    </row>
    <row r="24" spans="1:9" ht="15">
      <c r="A24" s="20"/>
      <c r="B24" s="2" t="s">
        <v>19</v>
      </c>
      <c r="C24" s="37"/>
      <c r="D24" s="35"/>
      <c r="E24" s="41">
        <f>3801.88+2044.56+89146.29</f>
        <v>94992.73</v>
      </c>
      <c r="F24" s="132" t="s">
        <v>319</v>
      </c>
      <c r="G24">
        <v>10000</v>
      </c>
      <c r="I24" s="9"/>
    </row>
    <row r="25" spans="1:6" ht="15">
      <c r="A25" s="20"/>
      <c r="B25" s="2" t="s">
        <v>20</v>
      </c>
      <c r="C25" s="37"/>
      <c r="D25" s="35"/>
      <c r="E25" s="41">
        <f>3625.1+9664.58+119576.64</f>
        <v>132866.32</v>
      </c>
      <c r="F25" s="132" t="s">
        <v>213</v>
      </c>
    </row>
    <row r="26" spans="1:7" ht="15">
      <c r="A26" s="20"/>
      <c r="B26" s="2" t="s">
        <v>21</v>
      </c>
      <c r="C26" s="37"/>
      <c r="D26" s="35"/>
      <c r="E26" s="41">
        <v>105279.12</v>
      </c>
      <c r="F26" s="132" t="s">
        <v>323</v>
      </c>
      <c r="G26">
        <v>10000</v>
      </c>
    </row>
    <row r="27" spans="1:7" ht="15">
      <c r="A27" s="20"/>
      <c r="B27" s="2" t="s">
        <v>22</v>
      </c>
      <c r="C27" s="37"/>
      <c r="D27" s="35"/>
      <c r="E27" s="41">
        <f>117817.88-6110</f>
        <v>111707.88</v>
      </c>
      <c r="F27" s="132"/>
      <c r="G27" s="16">
        <v>10000</v>
      </c>
    </row>
    <row r="28" spans="1:7" ht="15">
      <c r="A28" s="20"/>
      <c r="B28" s="2" t="s">
        <v>23</v>
      </c>
      <c r="C28" s="37"/>
      <c r="D28" s="35"/>
      <c r="E28" s="41">
        <f>5277.28+114668</f>
        <v>119945.28</v>
      </c>
      <c r="F28" s="132" t="s">
        <v>464</v>
      </c>
      <c r="G28" s="16">
        <f>13730.74+10000</f>
        <v>23730.739999999998</v>
      </c>
    </row>
    <row r="29" spans="1:7" ht="15">
      <c r="A29" s="20"/>
      <c r="B29" s="2" t="s">
        <v>30</v>
      </c>
      <c r="C29" s="37"/>
      <c r="D29" s="35"/>
      <c r="E29" s="41">
        <v>114831</v>
      </c>
      <c r="F29" s="132"/>
      <c r="G29" s="16">
        <v>15000</v>
      </c>
    </row>
    <row r="30" spans="1:7" ht="15">
      <c r="A30" s="141" t="s">
        <v>325</v>
      </c>
      <c r="B30" s="18" t="s">
        <v>25</v>
      </c>
      <c r="C30" s="39"/>
      <c r="D30" s="39">
        <v>120000</v>
      </c>
      <c r="E30" s="40">
        <f>SUM(E31:E42)</f>
        <v>103697</v>
      </c>
      <c r="F30" s="39">
        <f>D30-E30</f>
        <v>16303</v>
      </c>
      <c r="G30" s="16"/>
    </row>
    <row r="31" spans="1:7" ht="15">
      <c r="A31" s="20"/>
      <c r="B31" s="21" t="s">
        <v>13</v>
      </c>
      <c r="C31" s="59"/>
      <c r="D31" s="34"/>
      <c r="E31" s="42">
        <v>4159</v>
      </c>
      <c r="F31" s="133" t="s">
        <v>300</v>
      </c>
      <c r="G31" s="16"/>
    </row>
    <row r="32" spans="1:6" ht="15">
      <c r="A32" s="20"/>
      <c r="B32" s="2" t="s">
        <v>14</v>
      </c>
      <c r="C32" s="37"/>
      <c r="D32" s="35"/>
      <c r="E32" s="41">
        <v>9029</v>
      </c>
      <c r="F32" s="133" t="s">
        <v>300</v>
      </c>
    </row>
    <row r="33" spans="1:8" ht="15">
      <c r="A33" s="20"/>
      <c r="B33" s="2" t="s">
        <v>15</v>
      </c>
      <c r="C33" s="37"/>
      <c r="D33" s="35"/>
      <c r="E33" s="36">
        <v>12609</v>
      </c>
      <c r="F33" s="133" t="s">
        <v>300</v>
      </c>
      <c r="H33" s="9"/>
    </row>
    <row r="34" spans="1:6" ht="15">
      <c r="A34" s="20"/>
      <c r="B34" s="2" t="s">
        <v>16</v>
      </c>
      <c r="C34" s="37"/>
      <c r="D34" s="35"/>
      <c r="E34" s="36">
        <v>11179</v>
      </c>
      <c r="F34" s="133" t="s">
        <v>300</v>
      </c>
    </row>
    <row r="35" spans="1:6" ht="15">
      <c r="A35" s="20"/>
      <c r="B35" s="2" t="s">
        <v>17</v>
      </c>
      <c r="C35" s="37"/>
      <c r="D35" s="35"/>
      <c r="E35" s="41">
        <v>12889</v>
      </c>
      <c r="F35" s="133" t="s">
        <v>300</v>
      </c>
    </row>
    <row r="36" spans="1:8" ht="15">
      <c r="A36" s="20"/>
      <c r="B36" s="2" t="s">
        <v>18</v>
      </c>
      <c r="C36" s="37"/>
      <c r="D36" s="35"/>
      <c r="E36" s="36">
        <v>11409</v>
      </c>
      <c r="F36" s="133" t="s">
        <v>300</v>
      </c>
      <c r="H36" s="9"/>
    </row>
    <row r="37" spans="1:8" ht="15">
      <c r="A37" s="20"/>
      <c r="B37" s="21" t="s">
        <v>19</v>
      </c>
      <c r="C37" s="59"/>
      <c r="D37" s="35"/>
      <c r="E37" s="36">
        <v>5769</v>
      </c>
      <c r="F37" s="133" t="s">
        <v>299</v>
      </c>
      <c r="H37" s="9"/>
    </row>
    <row r="38" spans="1:8" ht="15">
      <c r="A38" s="20"/>
      <c r="B38" s="2" t="s">
        <v>20</v>
      </c>
      <c r="C38" s="37"/>
      <c r="D38" s="35"/>
      <c r="E38" s="36">
        <v>10529</v>
      </c>
      <c r="F38" s="133" t="s">
        <v>300</v>
      </c>
      <c r="H38" s="9"/>
    </row>
    <row r="39" spans="1:8" ht="15">
      <c r="A39" s="20"/>
      <c r="B39" s="2" t="s">
        <v>21</v>
      </c>
      <c r="C39" s="37"/>
      <c r="D39" s="35"/>
      <c r="E39" s="41">
        <v>6825</v>
      </c>
      <c r="F39" s="133"/>
      <c r="H39" s="9"/>
    </row>
    <row r="40" spans="1:8" ht="15">
      <c r="A40" s="20"/>
      <c r="B40" s="2" t="s">
        <v>22</v>
      </c>
      <c r="C40" s="37"/>
      <c r="D40" s="35"/>
      <c r="E40" s="41">
        <f>6110</f>
        <v>6110</v>
      </c>
      <c r="F40" s="133"/>
      <c r="H40" s="9"/>
    </row>
    <row r="41" spans="1:9" ht="15">
      <c r="A41" s="20"/>
      <c r="B41" s="2" t="s">
        <v>23</v>
      </c>
      <c r="C41" s="37"/>
      <c r="D41" s="35"/>
      <c r="E41" s="41">
        <v>6110</v>
      </c>
      <c r="F41" s="133"/>
      <c r="I41" s="9"/>
    </row>
    <row r="42" spans="1:8" ht="15">
      <c r="A42" s="20"/>
      <c r="B42" s="2" t="s">
        <v>26</v>
      </c>
      <c r="C42" s="37"/>
      <c r="D42" s="35"/>
      <c r="E42" s="41">
        <v>7080</v>
      </c>
      <c r="F42" s="133"/>
      <c r="H42" s="9"/>
    </row>
    <row r="43" spans="1:8" ht="26.25">
      <c r="A43" s="141" t="s">
        <v>326</v>
      </c>
      <c r="B43" s="22" t="s">
        <v>28</v>
      </c>
      <c r="C43" s="60"/>
      <c r="D43" s="39">
        <v>312000</v>
      </c>
      <c r="E43" s="40">
        <f>SUM(E44:E55)</f>
        <v>254590</v>
      </c>
      <c r="F43" s="39">
        <f>D43-E43</f>
        <v>57410</v>
      </c>
      <c r="H43" s="9"/>
    </row>
    <row r="44" spans="1:8" ht="15">
      <c r="A44" s="20"/>
      <c r="B44" s="21" t="s">
        <v>13</v>
      </c>
      <c r="C44" s="59"/>
      <c r="D44" s="35"/>
      <c r="E44" s="41">
        <f>2759+2874</f>
        <v>5633</v>
      </c>
      <c r="F44" s="134" t="s">
        <v>312</v>
      </c>
      <c r="H44" s="9"/>
    </row>
    <row r="45" spans="1:8" ht="26.25">
      <c r="A45" s="20"/>
      <c r="B45" s="2" t="s">
        <v>14</v>
      </c>
      <c r="C45" s="37"/>
      <c r="D45" s="35"/>
      <c r="E45" s="41">
        <f>3448+3678+2299+7040</f>
        <v>16465</v>
      </c>
      <c r="F45" s="134" t="s">
        <v>314</v>
      </c>
      <c r="H45" s="9"/>
    </row>
    <row r="46" spans="1:8" ht="15">
      <c r="A46" s="20"/>
      <c r="B46" s="2" t="s">
        <v>15</v>
      </c>
      <c r="C46" s="37"/>
      <c r="D46" s="35"/>
      <c r="E46" s="41">
        <f>7241+15000+11172</f>
        <v>33413</v>
      </c>
      <c r="F46" s="134" t="s">
        <v>315</v>
      </c>
      <c r="H46" s="9"/>
    </row>
    <row r="47" spans="1:6" ht="15">
      <c r="A47" s="20"/>
      <c r="B47" s="2" t="s">
        <v>16</v>
      </c>
      <c r="C47" s="37"/>
      <c r="D47" s="35"/>
      <c r="E47" s="41">
        <f>3448</f>
        <v>3448</v>
      </c>
      <c r="F47" s="134" t="s">
        <v>316</v>
      </c>
    </row>
    <row r="48" spans="1:6" ht="15">
      <c r="A48" s="20"/>
      <c r="B48" s="2" t="s">
        <v>17</v>
      </c>
      <c r="C48" s="37"/>
      <c r="D48" s="35"/>
      <c r="E48" s="41">
        <f>2299</f>
        <v>2299</v>
      </c>
      <c r="F48" s="134" t="s">
        <v>317</v>
      </c>
    </row>
    <row r="49" spans="1:8" ht="26.25">
      <c r="A49" s="20"/>
      <c r="B49" s="2" t="s">
        <v>18</v>
      </c>
      <c r="C49" s="37"/>
      <c r="D49" s="35"/>
      <c r="E49" s="36">
        <f>11494+49425+91954+3678</f>
        <v>156551</v>
      </c>
      <c r="F49" s="134" t="s">
        <v>318</v>
      </c>
      <c r="H49" s="9"/>
    </row>
    <row r="50" spans="1:6" ht="15">
      <c r="A50" s="20"/>
      <c r="B50" s="21" t="s">
        <v>19</v>
      </c>
      <c r="C50" s="59"/>
      <c r="D50" s="35"/>
      <c r="E50" s="43">
        <f>17600</f>
        <v>17600</v>
      </c>
      <c r="F50" s="134" t="s">
        <v>320</v>
      </c>
    </row>
    <row r="51" spans="1:6" ht="15">
      <c r="A51" s="20"/>
      <c r="B51" s="2" t="s">
        <v>20</v>
      </c>
      <c r="C51" s="37"/>
      <c r="D51" s="35"/>
      <c r="E51" s="36">
        <f>4253</f>
        <v>4253</v>
      </c>
      <c r="F51" s="134" t="s">
        <v>317</v>
      </c>
    </row>
    <row r="52" spans="1:6" ht="15">
      <c r="A52" s="20"/>
      <c r="B52" s="2" t="s">
        <v>21</v>
      </c>
      <c r="C52" s="37"/>
      <c r="D52" s="35"/>
      <c r="E52" s="41">
        <f>1725+6650</f>
        <v>8375</v>
      </c>
      <c r="F52" s="134" t="s">
        <v>322</v>
      </c>
    </row>
    <row r="53" spans="1:6" ht="15">
      <c r="A53" s="20"/>
      <c r="B53" s="2" t="s">
        <v>22</v>
      </c>
      <c r="C53" s="37"/>
      <c r="D53" s="35"/>
      <c r="E53" s="36"/>
      <c r="F53" s="134"/>
    </row>
    <row r="54" spans="1:6" ht="15">
      <c r="A54" s="20"/>
      <c r="B54" s="2" t="s">
        <v>23</v>
      </c>
      <c r="C54" s="37"/>
      <c r="D54" s="35"/>
      <c r="E54" s="41"/>
      <c r="F54" s="134"/>
    </row>
    <row r="55" spans="1:6" ht="15">
      <c r="A55" s="20"/>
      <c r="B55" s="2" t="s">
        <v>26</v>
      </c>
      <c r="C55" s="37"/>
      <c r="D55" s="35"/>
      <c r="E55" s="41">
        <f>4598+1955</f>
        <v>6553</v>
      </c>
      <c r="F55" s="134" t="s">
        <v>458</v>
      </c>
    </row>
    <row r="56" spans="1:6" ht="15">
      <c r="A56" s="20" t="s">
        <v>327</v>
      </c>
      <c r="B56" s="58" t="s">
        <v>63</v>
      </c>
      <c r="C56" s="37"/>
      <c r="D56" s="69">
        <v>12000</v>
      </c>
      <c r="E56" s="164">
        <f>5990.4+2299+2299</f>
        <v>10588.4</v>
      </c>
      <c r="F56" s="27">
        <f>D56-E56</f>
        <v>1411.6000000000004</v>
      </c>
    </row>
    <row r="57" spans="1:6" ht="15">
      <c r="A57" s="145" t="s">
        <v>70</v>
      </c>
      <c r="B57" s="58" t="s">
        <v>67</v>
      </c>
      <c r="C57" s="37"/>
      <c r="D57" s="69">
        <v>30000</v>
      </c>
      <c r="E57" s="164">
        <f>SUM(E58:E69)</f>
        <v>204</v>
      </c>
      <c r="F57" s="27">
        <f>D57-E57</f>
        <v>29796</v>
      </c>
    </row>
    <row r="58" spans="1:6" ht="15">
      <c r="A58" s="20"/>
      <c r="B58" s="21" t="s">
        <v>13</v>
      </c>
      <c r="C58" s="37"/>
      <c r="D58" s="69"/>
      <c r="E58" s="41"/>
      <c r="F58" s="134"/>
    </row>
    <row r="59" spans="1:6" ht="15">
      <c r="A59" s="20"/>
      <c r="B59" s="21" t="s">
        <v>14</v>
      </c>
      <c r="C59" s="37"/>
      <c r="D59" s="69"/>
      <c r="E59" s="41"/>
      <c r="F59" s="134"/>
    </row>
    <row r="60" spans="1:6" ht="15">
      <c r="A60" s="20"/>
      <c r="B60" s="21" t="s">
        <v>15</v>
      </c>
      <c r="C60" s="37"/>
      <c r="D60" s="69"/>
      <c r="E60" s="41">
        <f>204</f>
        <v>204</v>
      </c>
      <c r="F60" s="134"/>
    </row>
    <row r="61" spans="1:6" ht="15">
      <c r="A61" s="20"/>
      <c r="B61" s="21" t="s">
        <v>16</v>
      </c>
      <c r="C61" s="37"/>
      <c r="D61" s="69"/>
      <c r="E61" s="41"/>
      <c r="F61" s="134"/>
    </row>
    <row r="62" spans="1:6" ht="15">
      <c r="A62" s="20"/>
      <c r="B62" s="21" t="s">
        <v>17</v>
      </c>
      <c r="C62" s="37"/>
      <c r="D62" s="69"/>
      <c r="E62" s="41"/>
      <c r="F62" s="134"/>
    </row>
    <row r="63" spans="1:6" ht="15">
      <c r="A63" s="20"/>
      <c r="B63" s="21" t="s">
        <v>18</v>
      </c>
      <c r="C63" s="37"/>
      <c r="D63" s="69"/>
      <c r="E63" s="41"/>
      <c r="F63" s="134"/>
    </row>
    <row r="64" spans="1:6" ht="15">
      <c r="A64" s="20"/>
      <c r="B64" s="21" t="s">
        <v>19</v>
      </c>
      <c r="C64" s="37"/>
      <c r="D64" s="69"/>
      <c r="E64" s="41"/>
      <c r="F64" s="134"/>
    </row>
    <row r="65" spans="1:6" ht="15">
      <c r="A65" s="20"/>
      <c r="B65" s="21" t="s">
        <v>20</v>
      </c>
      <c r="C65" s="37"/>
      <c r="D65" s="69"/>
      <c r="E65" s="41"/>
      <c r="F65" s="134"/>
    </row>
    <row r="66" spans="1:6" ht="15">
      <c r="A66" s="20"/>
      <c r="B66" s="21" t="s">
        <v>21</v>
      </c>
      <c r="C66" s="37"/>
      <c r="D66" s="69"/>
      <c r="E66" s="41"/>
      <c r="F66" s="134"/>
    </row>
    <row r="67" spans="1:6" ht="15">
      <c r="A67" s="20"/>
      <c r="B67" s="21" t="s">
        <v>22</v>
      </c>
      <c r="C67" s="37"/>
      <c r="D67" s="69"/>
      <c r="E67" s="41"/>
      <c r="F67" s="134"/>
    </row>
    <row r="68" spans="1:6" ht="15">
      <c r="A68" s="20"/>
      <c r="B68" s="21" t="s">
        <v>23</v>
      </c>
      <c r="C68" s="37"/>
      <c r="D68" s="69"/>
      <c r="E68" s="41"/>
      <c r="F68" s="134"/>
    </row>
    <row r="69" spans="1:6" ht="15">
      <c r="A69" s="20"/>
      <c r="B69" s="21" t="s">
        <v>30</v>
      </c>
      <c r="C69" s="37"/>
      <c r="D69" s="69"/>
      <c r="E69" s="41"/>
      <c r="F69" s="134"/>
    </row>
    <row r="70" spans="1:6" ht="15">
      <c r="A70" s="146" t="s">
        <v>92</v>
      </c>
      <c r="B70" s="18" t="s">
        <v>124</v>
      </c>
      <c r="C70" s="39"/>
      <c r="D70" s="39">
        <v>398040</v>
      </c>
      <c r="E70" s="40">
        <f>SUM(E71:E82)</f>
        <v>397873.18</v>
      </c>
      <c r="F70" s="39">
        <f>D70-E70</f>
        <v>166.82000000000698</v>
      </c>
    </row>
    <row r="71" spans="1:6" ht="15">
      <c r="A71" s="20"/>
      <c r="B71" s="21" t="s">
        <v>13</v>
      </c>
      <c r="C71" s="59"/>
      <c r="D71" s="35"/>
      <c r="E71" s="41">
        <v>4.77</v>
      </c>
      <c r="F71" s="37"/>
    </row>
    <row r="72" spans="1:6" ht="15">
      <c r="A72" s="20"/>
      <c r="B72" s="2" t="s">
        <v>14</v>
      </c>
      <c r="C72" s="37"/>
      <c r="D72" s="35"/>
      <c r="E72" s="41">
        <f>300.27+31614.22+258.47+29139.64</f>
        <v>61312.600000000006</v>
      </c>
      <c r="F72" s="37"/>
    </row>
    <row r="73" spans="1:6" ht="15">
      <c r="A73" s="20"/>
      <c r="B73" s="2" t="s">
        <v>15</v>
      </c>
      <c r="C73" s="37"/>
      <c r="D73" s="35"/>
      <c r="E73" s="35">
        <f>219.96+31437</f>
        <v>31656.96</v>
      </c>
      <c r="F73" s="37"/>
    </row>
    <row r="74" spans="1:6" ht="15">
      <c r="A74" s="20"/>
      <c r="B74" s="2" t="s">
        <v>16</v>
      </c>
      <c r="C74" s="37"/>
      <c r="D74" s="35"/>
      <c r="E74" s="35">
        <f>235.99+25217.4</f>
        <v>25453.390000000003</v>
      </c>
      <c r="F74" s="37"/>
    </row>
    <row r="75" spans="1:6" ht="15">
      <c r="A75" s="20"/>
      <c r="B75" s="2" t="s">
        <v>17</v>
      </c>
      <c r="C75" s="37"/>
      <c r="D75" s="35"/>
      <c r="E75" s="41">
        <f>256.98+25230.2</f>
        <v>25487.18</v>
      </c>
      <c r="F75" s="37"/>
    </row>
    <row r="76" spans="1:6" ht="15">
      <c r="A76" s="20"/>
      <c r="B76" s="2" t="s">
        <v>18</v>
      </c>
      <c r="C76" s="37"/>
      <c r="D76" s="35"/>
      <c r="E76" s="35">
        <f>322.99+64067.96</f>
        <v>64390.95</v>
      </c>
      <c r="F76" s="37"/>
    </row>
    <row r="77" spans="1:6" ht="15">
      <c r="A77" s="20"/>
      <c r="B77" s="21" t="s">
        <v>19</v>
      </c>
      <c r="C77" s="59"/>
      <c r="D77" s="35"/>
      <c r="E77" s="41">
        <f>174.88+21008.43</f>
        <v>21183.31</v>
      </c>
      <c r="F77" s="37"/>
    </row>
    <row r="78" spans="1:6" ht="15">
      <c r="A78" s="20"/>
      <c r="B78" s="2" t="s">
        <v>20</v>
      </c>
      <c r="C78" s="37"/>
      <c r="D78" s="44"/>
      <c r="E78" s="41">
        <f>29679.01+288.28</f>
        <v>29967.289999999997</v>
      </c>
      <c r="F78" s="37"/>
    </row>
    <row r="79" spans="1:6" ht="15">
      <c r="A79" s="20"/>
      <c r="B79" s="2" t="s">
        <v>21</v>
      </c>
      <c r="C79" s="37"/>
      <c r="D79" s="35"/>
      <c r="E79" s="41">
        <f>224.21+24095.82</f>
        <v>24320.03</v>
      </c>
      <c r="F79" s="37"/>
    </row>
    <row r="80" spans="1:6" ht="15">
      <c r="A80" s="20"/>
      <c r="B80" s="2" t="s">
        <v>22</v>
      </c>
      <c r="C80" s="37"/>
      <c r="D80" s="35"/>
      <c r="E80" s="35">
        <f>216.71+30900</f>
        <v>31116.71</v>
      </c>
      <c r="F80" s="37"/>
    </row>
    <row r="81" spans="1:6" ht="15">
      <c r="A81" s="20"/>
      <c r="B81" s="2" t="s">
        <v>23</v>
      </c>
      <c r="C81" s="37"/>
      <c r="D81" s="35"/>
      <c r="E81" s="35">
        <f>9.92+992.52+241.56+55793.8</f>
        <v>57037.8</v>
      </c>
      <c r="F81" s="37"/>
    </row>
    <row r="82" spans="1:6" ht="15">
      <c r="A82" s="20"/>
      <c r="B82" s="2" t="s">
        <v>30</v>
      </c>
      <c r="C82" s="37"/>
      <c r="D82" s="35"/>
      <c r="E82" s="35">
        <f>5.56+243.83+25692.8</f>
        <v>25942.19</v>
      </c>
      <c r="F82" s="37"/>
    </row>
    <row r="83" spans="1:6" ht="15">
      <c r="A83" s="146" t="s">
        <v>328</v>
      </c>
      <c r="B83" s="18" t="s">
        <v>31</v>
      </c>
      <c r="C83" s="39"/>
      <c r="D83" s="39">
        <v>60000</v>
      </c>
      <c r="E83" s="40">
        <f>SUM(E84:E86)</f>
        <v>55505</v>
      </c>
      <c r="F83" s="39">
        <f>D83-E83</f>
        <v>4495</v>
      </c>
    </row>
    <row r="84" spans="1:6" ht="15">
      <c r="A84" s="145"/>
      <c r="B84" s="2" t="s">
        <v>32</v>
      </c>
      <c r="C84" s="37"/>
      <c r="D84" s="35"/>
      <c r="E84" s="36">
        <v>27905</v>
      </c>
      <c r="F84" s="37" t="s">
        <v>448</v>
      </c>
    </row>
    <row r="85" spans="1:6" ht="15">
      <c r="A85" s="145"/>
      <c r="B85" s="2" t="s">
        <v>304</v>
      </c>
      <c r="C85" s="37"/>
      <c r="D85" s="35"/>
      <c r="E85" s="36"/>
      <c r="F85" s="37"/>
    </row>
    <row r="86" spans="1:6" ht="15">
      <c r="A86" s="145"/>
      <c r="B86" s="2" t="s">
        <v>305</v>
      </c>
      <c r="C86" s="37"/>
      <c r="D86" s="35"/>
      <c r="E86" s="36">
        <f>27600</f>
        <v>27600</v>
      </c>
      <c r="F86" s="37"/>
    </row>
    <row r="87" spans="1:6" ht="15">
      <c r="A87" s="146" t="s">
        <v>329</v>
      </c>
      <c r="B87" s="18" t="s">
        <v>34</v>
      </c>
      <c r="C87" s="39"/>
      <c r="D87" s="39">
        <v>18000</v>
      </c>
      <c r="E87" s="40">
        <f>SUM(E88:E99)</f>
        <v>26328.56</v>
      </c>
      <c r="F87" s="39">
        <f>D87-E87</f>
        <v>-8328.560000000001</v>
      </c>
    </row>
    <row r="88" spans="1:6" ht="15">
      <c r="A88" s="20"/>
      <c r="B88" s="21" t="s">
        <v>13</v>
      </c>
      <c r="C88" s="59"/>
      <c r="D88" s="35"/>
      <c r="E88" s="41">
        <v>580</v>
      </c>
      <c r="F88" s="37"/>
    </row>
    <row r="89" spans="1:6" ht="15">
      <c r="A89" s="20"/>
      <c r="B89" s="2" t="s">
        <v>14</v>
      </c>
      <c r="C89" s="37"/>
      <c r="D89" s="35"/>
      <c r="E89" s="41">
        <v>1452.12</v>
      </c>
      <c r="F89" s="37"/>
    </row>
    <row r="90" spans="1:6" ht="15">
      <c r="A90" s="20"/>
      <c r="B90" s="2" t="s">
        <v>15</v>
      </c>
      <c r="C90" s="37"/>
      <c r="D90" s="35"/>
      <c r="E90" s="45">
        <v>1099.31</v>
      </c>
      <c r="F90" s="37"/>
    </row>
    <row r="91" spans="1:6" ht="15">
      <c r="A91" s="20"/>
      <c r="B91" s="2" t="s">
        <v>16</v>
      </c>
      <c r="C91" s="37"/>
      <c r="D91" s="35"/>
      <c r="E91" s="45">
        <v>888.21</v>
      </c>
      <c r="F91" s="37"/>
    </row>
    <row r="92" spans="1:6" ht="15">
      <c r="A92" s="20"/>
      <c r="B92" s="2" t="s">
        <v>17</v>
      </c>
      <c r="C92" s="37"/>
      <c r="D92" s="35"/>
      <c r="E92" s="35">
        <v>1185.05</v>
      </c>
      <c r="F92" s="37"/>
    </row>
    <row r="93" spans="1:6" ht="15">
      <c r="A93" s="20"/>
      <c r="B93" s="2" t="s">
        <v>18</v>
      </c>
      <c r="C93" s="37"/>
      <c r="D93" s="35"/>
      <c r="E93" s="35">
        <v>1841.33</v>
      </c>
      <c r="F93" s="37"/>
    </row>
    <row r="94" spans="1:6" ht="15">
      <c r="A94" s="20"/>
      <c r="B94" s="21" t="s">
        <v>19</v>
      </c>
      <c r="C94" s="59"/>
      <c r="D94" s="35"/>
      <c r="E94" s="35">
        <v>1355.65</v>
      </c>
      <c r="F94" s="37"/>
    </row>
    <row r="95" spans="1:6" ht="15">
      <c r="A95" s="20"/>
      <c r="B95" s="2" t="s">
        <v>20</v>
      </c>
      <c r="C95" s="37"/>
      <c r="D95" s="35"/>
      <c r="E95" s="35">
        <v>1472.95</v>
      </c>
      <c r="F95" s="37"/>
    </row>
    <row r="96" spans="1:8" ht="15">
      <c r="A96" s="20"/>
      <c r="B96" s="2" t="s">
        <v>21</v>
      </c>
      <c r="C96" s="37"/>
      <c r="D96" s="44"/>
      <c r="E96" s="35">
        <f>4595+3850</f>
        <v>8445</v>
      </c>
      <c r="F96" s="37"/>
      <c r="H96" s="9"/>
    </row>
    <row r="97" spans="1:8" ht="15">
      <c r="A97" s="20"/>
      <c r="B97" s="2" t="s">
        <v>22</v>
      </c>
      <c r="C97" s="37"/>
      <c r="D97" s="35"/>
      <c r="E97" s="35">
        <v>2519.51</v>
      </c>
      <c r="F97" s="37"/>
      <c r="H97" s="9"/>
    </row>
    <row r="98" spans="1:6" ht="15">
      <c r="A98" s="20"/>
      <c r="B98" s="2" t="s">
        <v>23</v>
      </c>
      <c r="C98" s="37"/>
      <c r="D98" s="35"/>
      <c r="E98" s="35">
        <f>60+1143.23+30+650+180+600+689.26</f>
        <v>3352.49</v>
      </c>
      <c r="F98" s="37"/>
    </row>
    <row r="99" spans="1:6" ht="15">
      <c r="A99" s="20"/>
      <c r="B99" s="2" t="s">
        <v>30</v>
      </c>
      <c r="C99" s="37"/>
      <c r="D99" s="35"/>
      <c r="E99" s="35">
        <f>30+90+650+240+526.94+600</f>
        <v>2136.94</v>
      </c>
      <c r="F99" s="37"/>
    </row>
    <row r="100" spans="1:6" ht="15">
      <c r="A100" s="146" t="s">
        <v>330</v>
      </c>
      <c r="B100" s="18" t="s">
        <v>36</v>
      </c>
      <c r="C100" s="39"/>
      <c r="D100" s="39">
        <v>15000</v>
      </c>
      <c r="E100" s="39">
        <f>SUM(E101:E129)</f>
        <v>11505.720000000001</v>
      </c>
      <c r="F100" s="39">
        <f>D100-E100</f>
        <v>3494.279999999999</v>
      </c>
    </row>
    <row r="101" spans="1:6" ht="15">
      <c r="A101" s="20"/>
      <c r="B101" s="21" t="s">
        <v>37</v>
      </c>
      <c r="C101" s="21"/>
      <c r="D101" s="35"/>
      <c r="E101" s="35">
        <f>13.38+506.66</f>
        <v>520.0400000000001</v>
      </c>
      <c r="F101" s="35"/>
    </row>
    <row r="102" spans="1:6" ht="15">
      <c r="A102" s="20"/>
      <c r="B102" s="2" t="s">
        <v>38</v>
      </c>
      <c r="C102" s="21"/>
      <c r="D102" s="35"/>
      <c r="E102" s="35">
        <v>462.54</v>
      </c>
      <c r="F102" s="35"/>
    </row>
    <row r="103" spans="1:6" ht="15">
      <c r="A103" s="20"/>
      <c r="B103" s="2" t="s">
        <v>40</v>
      </c>
      <c r="C103" s="2"/>
      <c r="D103" s="35"/>
      <c r="E103" s="35">
        <f>47.33+552.67</f>
        <v>600</v>
      </c>
      <c r="F103" s="35"/>
    </row>
    <row r="104" spans="1:6" ht="15">
      <c r="A104" s="20"/>
      <c r="B104" s="2" t="s">
        <v>42</v>
      </c>
      <c r="C104" s="2"/>
      <c r="D104" s="35"/>
      <c r="E104" s="63">
        <v>526.55</v>
      </c>
      <c r="F104" s="35"/>
    </row>
    <row r="105" spans="1:6" ht="15">
      <c r="A105" s="20"/>
      <c r="B105" s="2" t="s">
        <v>44</v>
      </c>
      <c r="C105" s="2"/>
      <c r="D105" s="35"/>
      <c r="E105" s="35">
        <v>428.61</v>
      </c>
      <c r="F105" s="35"/>
    </row>
    <row r="106" spans="1:6" ht="15">
      <c r="A106" s="20"/>
      <c r="B106" s="2" t="s">
        <v>45</v>
      </c>
      <c r="C106" s="2"/>
      <c r="D106" s="35"/>
      <c r="E106" s="44">
        <f>38.65+522.76</f>
        <v>561.41</v>
      </c>
      <c r="F106" s="35"/>
    </row>
    <row r="107" spans="1:6" ht="15">
      <c r="A107" s="20"/>
      <c r="B107" s="21" t="s">
        <v>126</v>
      </c>
      <c r="C107" s="2"/>
      <c r="D107" s="63"/>
      <c r="E107" s="35">
        <f>1.99+524.75</f>
        <v>526.74</v>
      </c>
      <c r="F107" s="35"/>
    </row>
    <row r="108" spans="1:6" ht="15">
      <c r="A108" s="20"/>
      <c r="B108" s="2" t="s">
        <v>48</v>
      </c>
      <c r="C108" s="2"/>
      <c r="D108" s="106"/>
      <c r="E108" s="35">
        <v>1000</v>
      </c>
      <c r="F108" s="35"/>
    </row>
    <row r="109" spans="1:6" ht="15">
      <c r="A109" s="20"/>
      <c r="B109" s="2" t="s">
        <v>285</v>
      </c>
      <c r="C109" s="2"/>
      <c r="D109" s="96"/>
      <c r="E109" s="45"/>
      <c r="F109" s="35"/>
    </row>
    <row r="110" spans="1:7" ht="15">
      <c r="A110" s="20"/>
      <c r="B110" s="2" t="s">
        <v>51</v>
      </c>
      <c r="C110" s="2"/>
      <c r="D110" s="107"/>
      <c r="E110" s="35">
        <f>366.74</f>
        <v>366.74</v>
      </c>
      <c r="F110" s="35"/>
      <c r="G110" s="16"/>
    </row>
    <row r="111" spans="1:6" ht="15">
      <c r="A111" s="20"/>
      <c r="B111" s="2" t="s">
        <v>53</v>
      </c>
      <c r="C111" s="2"/>
      <c r="D111" s="106"/>
      <c r="E111" s="45">
        <f>11.39+481.33</f>
        <v>492.71999999999997</v>
      </c>
      <c r="F111" s="35"/>
    </row>
    <row r="112" spans="1:6" ht="15">
      <c r="A112" s="20"/>
      <c r="B112" s="2" t="s">
        <v>54</v>
      </c>
      <c r="C112" s="2"/>
      <c r="D112" s="96"/>
      <c r="E112" s="45">
        <f>6.52+487.85+600</f>
        <v>1094.37</v>
      </c>
      <c r="F112" s="35"/>
    </row>
    <row r="113" spans="1:6" ht="15">
      <c r="A113" s="20"/>
      <c r="B113" s="21" t="s">
        <v>117</v>
      </c>
      <c r="C113" s="21"/>
      <c r="D113" s="35"/>
      <c r="E113" s="35">
        <v>500</v>
      </c>
      <c r="F113" s="35"/>
    </row>
    <row r="114" spans="1:6" ht="15">
      <c r="A114" s="20"/>
      <c r="B114" s="2" t="s">
        <v>39</v>
      </c>
      <c r="C114" s="21"/>
      <c r="D114" s="35"/>
      <c r="E114" s="45"/>
      <c r="F114" s="35"/>
    </row>
    <row r="115" spans="1:6" ht="15">
      <c r="A115" s="20"/>
      <c r="B115" s="2" t="s">
        <v>41</v>
      </c>
      <c r="C115" s="2"/>
      <c r="D115" s="44"/>
      <c r="E115" s="35">
        <v>100</v>
      </c>
      <c r="F115" s="35"/>
    </row>
    <row r="116" spans="1:6" ht="15">
      <c r="A116" s="20"/>
      <c r="B116" s="2" t="s">
        <v>148</v>
      </c>
      <c r="C116" s="2"/>
      <c r="D116" s="35"/>
      <c r="E116" s="45">
        <v>200</v>
      </c>
      <c r="F116" s="35"/>
    </row>
    <row r="117" spans="1:6" ht="15">
      <c r="A117" s="20"/>
      <c r="B117" s="2" t="s">
        <v>43</v>
      </c>
      <c r="C117" s="2"/>
      <c r="D117" s="35"/>
      <c r="E117" s="45"/>
      <c r="F117" s="35"/>
    </row>
    <row r="118" spans="1:6" ht="15">
      <c r="A118" s="20"/>
      <c r="B118" s="2" t="s">
        <v>46</v>
      </c>
      <c r="C118" s="2"/>
      <c r="D118" s="35"/>
      <c r="E118" s="98">
        <v>500</v>
      </c>
      <c r="F118" s="35"/>
    </row>
    <row r="119" spans="1:6" ht="15">
      <c r="A119" s="20"/>
      <c r="B119" s="21" t="s">
        <v>47</v>
      </c>
      <c r="C119" s="2"/>
      <c r="D119" s="35"/>
      <c r="E119" s="35"/>
      <c r="F119" s="35"/>
    </row>
    <row r="120" spans="1:6" ht="15">
      <c r="A120" s="20"/>
      <c r="B120" s="2" t="s">
        <v>49</v>
      </c>
      <c r="C120" s="2"/>
      <c r="D120" s="35"/>
      <c r="E120" s="35">
        <v>100</v>
      </c>
      <c r="F120" s="35"/>
    </row>
    <row r="121" spans="1:6" ht="15">
      <c r="A121" s="20"/>
      <c r="B121" s="2" t="s">
        <v>286</v>
      </c>
      <c r="C121" s="2"/>
      <c r="D121" s="35"/>
      <c r="E121" s="45">
        <v>300</v>
      </c>
      <c r="F121" s="35"/>
    </row>
    <row r="122" spans="1:6" ht="15">
      <c r="A122" s="20"/>
      <c r="B122" s="2" t="s">
        <v>50</v>
      </c>
      <c r="C122" s="2"/>
      <c r="D122" s="44"/>
      <c r="E122" s="35">
        <v>100</v>
      </c>
      <c r="F122" s="35"/>
    </row>
    <row r="123" spans="1:6" ht="15">
      <c r="A123" s="20"/>
      <c r="B123" s="2" t="s">
        <v>52</v>
      </c>
      <c r="C123" s="2"/>
      <c r="D123" s="35"/>
      <c r="E123" s="45">
        <v>200</v>
      </c>
      <c r="F123" s="35"/>
    </row>
    <row r="124" spans="1:6" ht="15">
      <c r="A124" s="20"/>
      <c r="B124" s="2" t="s">
        <v>456</v>
      </c>
      <c r="C124" s="2"/>
      <c r="D124" s="35"/>
      <c r="E124" s="45">
        <v>300</v>
      </c>
      <c r="F124" s="35"/>
    </row>
    <row r="125" spans="1:6" ht="15">
      <c r="A125" s="20"/>
      <c r="B125" s="58" t="s">
        <v>118</v>
      </c>
      <c r="C125" s="37"/>
      <c r="D125" s="35"/>
      <c r="E125" s="45"/>
      <c r="F125" s="37"/>
    </row>
    <row r="126" spans="1:6" ht="15">
      <c r="A126" s="20"/>
      <c r="B126" s="2" t="s">
        <v>15</v>
      </c>
      <c r="C126" s="37"/>
      <c r="D126" s="35"/>
      <c r="E126" s="35">
        <v>26</v>
      </c>
      <c r="F126" s="37"/>
    </row>
    <row r="127" spans="1:7" ht="15">
      <c r="A127" s="20"/>
      <c r="B127" s="2" t="s">
        <v>18</v>
      </c>
      <c r="C127" s="37"/>
      <c r="D127" s="35"/>
      <c r="E127" s="35">
        <v>1250</v>
      </c>
      <c r="F127" s="37"/>
      <c r="G127" s="16"/>
    </row>
    <row r="128" spans="1:7" ht="15">
      <c r="A128" s="20"/>
      <c r="B128" s="2" t="s">
        <v>19</v>
      </c>
      <c r="C128" s="37"/>
      <c r="D128" s="35"/>
      <c r="E128" s="35">
        <v>100</v>
      </c>
      <c r="F128" s="37"/>
      <c r="G128" s="16"/>
    </row>
    <row r="129" spans="1:7" ht="15">
      <c r="A129" s="20"/>
      <c r="B129" s="2" t="s">
        <v>30</v>
      </c>
      <c r="C129" s="37"/>
      <c r="D129" s="35"/>
      <c r="E129" s="35">
        <f>1250</f>
        <v>1250</v>
      </c>
      <c r="F129" s="37"/>
      <c r="G129" s="16"/>
    </row>
    <row r="130" spans="1:6" ht="15">
      <c r="A130" s="146" t="s">
        <v>331</v>
      </c>
      <c r="B130" s="18" t="s">
        <v>56</v>
      </c>
      <c r="C130" s="39"/>
      <c r="D130" s="39">
        <v>132000</v>
      </c>
      <c r="E130" s="39">
        <f>SUM(E131:E142)</f>
        <v>125304.40000000001</v>
      </c>
      <c r="F130" s="39">
        <f>D130-E130</f>
        <v>6695.599999999991</v>
      </c>
    </row>
    <row r="131" spans="1:6" ht="15">
      <c r="A131" s="20"/>
      <c r="B131" s="21" t="s">
        <v>13</v>
      </c>
      <c r="C131" s="59"/>
      <c r="D131" s="35"/>
      <c r="E131" s="35"/>
      <c r="F131" s="37"/>
    </row>
    <row r="132" spans="1:6" ht="15">
      <c r="A132" s="20"/>
      <c r="B132" s="2" t="s">
        <v>14</v>
      </c>
      <c r="C132" s="37"/>
      <c r="D132" s="35"/>
      <c r="E132" s="35">
        <f>1450+10071.2</f>
        <v>11521.2</v>
      </c>
      <c r="F132" s="37"/>
    </row>
    <row r="133" spans="1:6" ht="15">
      <c r="A133" s="20"/>
      <c r="B133" s="2" t="s">
        <v>15</v>
      </c>
      <c r="C133" s="37"/>
      <c r="D133" s="35"/>
      <c r="E133" s="35">
        <f>10071.2*2</f>
        <v>20142.4</v>
      </c>
      <c r="F133" s="37"/>
    </row>
    <row r="134" spans="1:6" ht="15">
      <c r="A134" s="20"/>
      <c r="B134" s="2" t="s">
        <v>16</v>
      </c>
      <c r="C134" s="37"/>
      <c r="D134" s="35"/>
      <c r="E134" s="35">
        <v>10071.2</v>
      </c>
      <c r="F134" s="37"/>
    </row>
    <row r="135" spans="1:6" ht="15">
      <c r="A135" s="20"/>
      <c r="B135" s="2" t="s">
        <v>17</v>
      </c>
      <c r="C135" s="37"/>
      <c r="D135" s="63"/>
      <c r="E135" s="63"/>
      <c r="F135" s="37"/>
    </row>
    <row r="136" spans="1:6" ht="15">
      <c r="A136" s="20"/>
      <c r="B136" s="2" t="s">
        <v>18</v>
      </c>
      <c r="C136" s="105"/>
      <c r="D136" s="106"/>
      <c r="E136" s="44">
        <f>1350+10071.2+10071.2</f>
        <v>21492.4</v>
      </c>
      <c r="F136" s="37"/>
    </row>
    <row r="137" spans="1:7" ht="15">
      <c r="A137" s="20"/>
      <c r="B137" s="21" t="s">
        <v>19</v>
      </c>
      <c r="C137" s="59"/>
      <c r="D137" s="96"/>
      <c r="E137" s="35"/>
      <c r="F137" s="37"/>
      <c r="G137" s="16"/>
    </row>
    <row r="138" spans="1:7" ht="15">
      <c r="A138" s="20"/>
      <c r="B138" s="2" t="s">
        <v>20</v>
      </c>
      <c r="C138" s="37"/>
      <c r="D138" s="35"/>
      <c r="E138" s="45">
        <f>1650+10071.2</f>
        <v>11721.2</v>
      </c>
      <c r="F138" s="37"/>
      <c r="G138" s="16"/>
    </row>
    <row r="139" spans="1:8" ht="15">
      <c r="A139" s="20"/>
      <c r="B139" s="2" t="s">
        <v>21</v>
      </c>
      <c r="C139" s="37"/>
      <c r="D139" s="35"/>
      <c r="E139" s="45">
        <f>10071.2</f>
        <v>10071.2</v>
      </c>
      <c r="F139" s="37"/>
      <c r="G139" s="16"/>
      <c r="H139" s="16"/>
    </row>
    <row r="140" spans="1:7" ht="15">
      <c r="A140" s="20"/>
      <c r="B140" s="2" t="s">
        <v>22</v>
      </c>
      <c r="C140" s="37"/>
      <c r="D140" s="35"/>
      <c r="E140" s="35">
        <f>10071.2</f>
        <v>10071.2</v>
      </c>
      <c r="F140" s="37"/>
      <c r="G140" s="16"/>
    </row>
    <row r="141" spans="1:7" ht="15">
      <c r="A141" s="20"/>
      <c r="B141" s="2" t="s">
        <v>23</v>
      </c>
      <c r="C141" s="37"/>
      <c r="D141" s="35"/>
      <c r="E141" s="45">
        <f>10071.2+10071.2</f>
        <v>20142.4</v>
      </c>
      <c r="F141" s="37"/>
      <c r="G141" s="16"/>
    </row>
    <row r="142" spans="1:7" ht="15">
      <c r="A142" s="20"/>
      <c r="B142" s="2" t="s">
        <v>30</v>
      </c>
      <c r="C142" s="37"/>
      <c r="D142" s="35"/>
      <c r="E142" s="45">
        <f>10071.2</f>
        <v>10071.2</v>
      </c>
      <c r="F142" s="37"/>
      <c r="G142" s="16"/>
    </row>
    <row r="143" spans="1:7" ht="15">
      <c r="A143" s="109" t="s">
        <v>332</v>
      </c>
      <c r="B143" s="18" t="s">
        <v>58</v>
      </c>
      <c r="C143" s="39"/>
      <c r="D143" s="39">
        <v>42000</v>
      </c>
      <c r="E143" s="39">
        <f>SUM(E144:E155)</f>
        <v>21857.73</v>
      </c>
      <c r="F143" s="39">
        <f>D143-E143</f>
        <v>20142.27</v>
      </c>
      <c r="G143" s="16"/>
    </row>
    <row r="144" spans="1:6" ht="15">
      <c r="A144" s="20"/>
      <c r="B144" s="21" t="s">
        <v>13</v>
      </c>
      <c r="C144" s="59"/>
      <c r="D144" s="11"/>
      <c r="E144" s="11"/>
      <c r="F144" s="135"/>
    </row>
    <row r="145" spans="1:7" ht="23.25">
      <c r="A145" s="20"/>
      <c r="B145" s="2" t="s">
        <v>14</v>
      </c>
      <c r="C145" s="37"/>
      <c r="D145" s="26"/>
      <c r="E145" s="26">
        <f>1013.25+106.8</f>
        <v>1120.05</v>
      </c>
      <c r="F145" s="115" t="s">
        <v>440</v>
      </c>
      <c r="G145" s="16"/>
    </row>
    <row r="146" spans="1:6" ht="23.25">
      <c r="A146" s="20"/>
      <c r="B146" s="2" t="s">
        <v>15</v>
      </c>
      <c r="C146" s="37"/>
      <c r="D146" s="26"/>
      <c r="E146" s="26">
        <v>2477.33</v>
      </c>
      <c r="F146" s="115" t="s">
        <v>412</v>
      </c>
    </row>
    <row r="147" spans="1:6" ht="15">
      <c r="A147" s="20"/>
      <c r="B147" s="2" t="s">
        <v>16</v>
      </c>
      <c r="C147" s="37"/>
      <c r="D147" s="11"/>
      <c r="E147" s="11">
        <v>1663.42</v>
      </c>
      <c r="F147" s="115" t="s">
        <v>408</v>
      </c>
    </row>
    <row r="148" spans="1:6" ht="15">
      <c r="A148" s="20"/>
      <c r="B148" s="2" t="s">
        <v>17</v>
      </c>
      <c r="C148" s="37"/>
      <c r="D148" s="26"/>
      <c r="E148" s="26">
        <v>2545.29</v>
      </c>
      <c r="F148" s="115" t="s">
        <v>407</v>
      </c>
    </row>
    <row r="149" spans="1:6" ht="15">
      <c r="A149" s="20"/>
      <c r="B149" s="2" t="s">
        <v>18</v>
      </c>
      <c r="C149" s="37"/>
      <c r="D149" s="11"/>
      <c r="E149" s="11">
        <v>4157.5</v>
      </c>
      <c r="F149" s="115" t="s">
        <v>418</v>
      </c>
    </row>
    <row r="150" spans="1:6" ht="23.25">
      <c r="A150" s="20"/>
      <c r="B150" s="21" t="s">
        <v>19</v>
      </c>
      <c r="C150" s="59"/>
      <c r="D150" s="11"/>
      <c r="E150" s="11">
        <v>1234.29</v>
      </c>
      <c r="F150" s="115" t="s">
        <v>423</v>
      </c>
    </row>
    <row r="151" spans="1:6" ht="23.25">
      <c r="A151" s="20"/>
      <c r="B151" s="2" t="s">
        <v>20</v>
      </c>
      <c r="C151" s="37"/>
      <c r="D151" s="11"/>
      <c r="E151" s="11">
        <v>1516.08</v>
      </c>
      <c r="F151" s="115" t="s">
        <v>424</v>
      </c>
    </row>
    <row r="152" spans="1:6" ht="15">
      <c r="A152" s="20"/>
      <c r="B152" s="2" t="s">
        <v>21</v>
      </c>
      <c r="C152" s="37"/>
      <c r="D152" s="11"/>
      <c r="E152" s="11">
        <v>678.07</v>
      </c>
      <c r="F152" s="115" t="s">
        <v>427</v>
      </c>
    </row>
    <row r="153" spans="1:6" ht="15">
      <c r="A153" s="20"/>
      <c r="B153" s="2" t="s">
        <v>22</v>
      </c>
      <c r="C153" s="37"/>
      <c r="D153" s="11"/>
      <c r="E153" s="11">
        <f>92+1710</f>
        <v>1802</v>
      </c>
      <c r="F153" s="115" t="s">
        <v>447</v>
      </c>
    </row>
    <row r="154" spans="1:7" ht="15">
      <c r="A154" s="20"/>
      <c r="B154" s="2" t="s">
        <v>23</v>
      </c>
      <c r="C154" s="37"/>
      <c r="D154" s="11"/>
      <c r="E154" s="11">
        <f>1855.2+288</f>
        <v>2143.2</v>
      </c>
      <c r="F154" s="116" t="s">
        <v>449</v>
      </c>
      <c r="G154" s="16"/>
    </row>
    <row r="155" spans="1:7" ht="15">
      <c r="A155" s="20"/>
      <c r="B155" s="2" t="s">
        <v>30</v>
      </c>
      <c r="C155" s="37"/>
      <c r="D155" s="11"/>
      <c r="E155" s="11">
        <f>2520.5</f>
        <v>2520.5</v>
      </c>
      <c r="F155" s="116" t="s">
        <v>454</v>
      </c>
      <c r="G155" s="16"/>
    </row>
    <row r="156" spans="1:6" ht="15">
      <c r="A156" s="109" t="s">
        <v>333</v>
      </c>
      <c r="B156" s="18" t="s">
        <v>60</v>
      </c>
      <c r="C156" s="39"/>
      <c r="D156" s="19">
        <v>30000</v>
      </c>
      <c r="E156" s="19">
        <f>SUM(E157:E171)</f>
        <v>26131.58</v>
      </c>
      <c r="F156" s="19">
        <f>D156-E156</f>
        <v>3868.4199999999983</v>
      </c>
    </row>
    <row r="157" spans="1:7" ht="15" hidden="1">
      <c r="A157" s="20"/>
      <c r="B157" s="21" t="s">
        <v>13</v>
      </c>
      <c r="C157" s="59"/>
      <c r="D157" s="11"/>
      <c r="E157" s="11"/>
      <c r="F157" s="134"/>
      <c r="G157" s="16"/>
    </row>
    <row r="158" spans="1:6" ht="15" hidden="1">
      <c r="A158" s="20"/>
      <c r="B158" s="2" t="s">
        <v>14</v>
      </c>
      <c r="C158" s="37"/>
      <c r="D158" s="11"/>
      <c r="E158" s="11"/>
      <c r="F158" s="134"/>
    </row>
    <row r="159" spans="1:7" ht="39">
      <c r="A159" s="20"/>
      <c r="B159" s="2" t="s">
        <v>14</v>
      </c>
      <c r="C159" s="37"/>
      <c r="D159" s="26"/>
      <c r="E159" s="26">
        <v>1872.7</v>
      </c>
      <c r="F159" s="163" t="s">
        <v>406</v>
      </c>
      <c r="G159" s="16"/>
    </row>
    <row r="160" spans="1:7" ht="15">
      <c r="A160" s="20"/>
      <c r="B160" s="2" t="s">
        <v>15</v>
      </c>
      <c r="C160" s="37"/>
      <c r="D160" s="26"/>
      <c r="E160" s="26">
        <v>40.8</v>
      </c>
      <c r="F160" s="115" t="s">
        <v>411</v>
      </c>
      <c r="G160" s="16"/>
    </row>
    <row r="161" spans="1:7" ht="15">
      <c r="A161" s="20"/>
      <c r="B161" s="2" t="s">
        <v>16</v>
      </c>
      <c r="C161" s="37"/>
      <c r="D161" s="11"/>
      <c r="E161" s="11">
        <f>4370+971.95</f>
        <v>5341.95</v>
      </c>
      <c r="F161" s="163" t="s">
        <v>432</v>
      </c>
      <c r="G161" s="16"/>
    </row>
    <row r="162" spans="1:6" ht="15" hidden="1">
      <c r="A162" s="20"/>
      <c r="B162" s="2" t="s">
        <v>17</v>
      </c>
      <c r="C162" s="37"/>
      <c r="D162" s="11"/>
      <c r="E162" s="11"/>
      <c r="F162" s="135"/>
    </row>
    <row r="163" spans="1:6" ht="15" hidden="1">
      <c r="A163" s="20"/>
      <c r="B163" s="2" t="s">
        <v>18</v>
      </c>
      <c r="C163" s="37"/>
      <c r="D163" s="11"/>
      <c r="E163" s="11"/>
      <c r="F163" s="156"/>
    </row>
    <row r="164" spans="1:6" ht="15">
      <c r="A164" s="20"/>
      <c r="B164" s="2" t="s">
        <v>17</v>
      </c>
      <c r="C164" s="37"/>
      <c r="D164" s="11"/>
      <c r="E164" s="12">
        <f>2000</f>
        <v>2000</v>
      </c>
      <c r="F164" s="157" t="s">
        <v>390</v>
      </c>
    </row>
    <row r="165" spans="1:6" ht="15">
      <c r="A165" s="20"/>
      <c r="B165" s="2" t="s">
        <v>19</v>
      </c>
      <c r="C165" s="37"/>
      <c r="D165" s="11"/>
      <c r="E165" s="12">
        <v>900</v>
      </c>
      <c r="F165" s="157" t="s">
        <v>296</v>
      </c>
    </row>
    <row r="166" spans="1:6" ht="15">
      <c r="A166" s="20"/>
      <c r="B166" s="2" t="s">
        <v>20</v>
      </c>
      <c r="C166" s="59"/>
      <c r="D166" s="11"/>
      <c r="E166" s="11">
        <f>7656+2500+530</f>
        <v>10686</v>
      </c>
      <c r="F166" s="163" t="s">
        <v>433</v>
      </c>
    </row>
    <row r="167" spans="1:7" ht="15" hidden="1">
      <c r="A167" s="20"/>
      <c r="B167" s="2" t="s">
        <v>20</v>
      </c>
      <c r="C167" s="37"/>
      <c r="D167" s="11"/>
      <c r="E167" s="11"/>
      <c r="F167" s="134"/>
      <c r="G167" s="16"/>
    </row>
    <row r="168" spans="1:7" ht="15">
      <c r="A168" s="20"/>
      <c r="B168" s="2" t="s">
        <v>21</v>
      </c>
      <c r="C168" s="37"/>
      <c r="D168" s="11"/>
      <c r="E168" s="11">
        <f>209</f>
        <v>209</v>
      </c>
      <c r="F168" s="163" t="s">
        <v>209</v>
      </c>
      <c r="G168" s="16"/>
    </row>
    <row r="169" spans="1:7" ht="15">
      <c r="A169" s="20"/>
      <c r="B169" s="2" t="s">
        <v>22</v>
      </c>
      <c r="C169" s="37"/>
      <c r="D169" s="11"/>
      <c r="E169" s="11">
        <f>60+96+650</f>
        <v>806</v>
      </c>
      <c r="F169" s="134" t="s">
        <v>446</v>
      </c>
      <c r="G169" s="16"/>
    </row>
    <row r="170" spans="1:7" ht="15">
      <c r="A170" s="20"/>
      <c r="B170" s="2" t="s">
        <v>23</v>
      </c>
      <c r="C170" s="37"/>
      <c r="D170" s="11"/>
      <c r="E170" s="11">
        <f>2180.83+2094.3</f>
        <v>4275.13</v>
      </c>
      <c r="F170" s="116" t="s">
        <v>459</v>
      </c>
      <c r="G170" s="16"/>
    </row>
    <row r="171" spans="1:6" ht="15">
      <c r="A171" s="20"/>
      <c r="B171" s="2" t="s">
        <v>30</v>
      </c>
      <c r="C171" s="37"/>
      <c r="D171" s="11"/>
      <c r="E171" s="11"/>
      <c r="F171" s="134"/>
    </row>
    <row r="172" spans="1:6" ht="15">
      <c r="A172" s="109" t="s">
        <v>334</v>
      </c>
      <c r="B172" s="18" t="s">
        <v>218</v>
      </c>
      <c r="C172" s="39"/>
      <c r="D172" s="19">
        <v>12000</v>
      </c>
      <c r="E172" s="19">
        <v>11899.08</v>
      </c>
      <c r="F172" s="19">
        <f aca="true" t="shared" si="0" ref="F172:F177">D172-E172</f>
        <v>100.92000000000007</v>
      </c>
    </row>
    <row r="173" spans="1:6" ht="15">
      <c r="A173" s="109" t="s">
        <v>335</v>
      </c>
      <c r="B173" s="18" t="s">
        <v>306</v>
      </c>
      <c r="C173" s="39"/>
      <c r="D173" s="19">
        <v>37200</v>
      </c>
      <c r="E173" s="19">
        <f>7590+17710</f>
        <v>25300</v>
      </c>
      <c r="F173" s="19">
        <f t="shared" si="0"/>
        <v>11900</v>
      </c>
    </row>
    <row r="174" spans="1:6" ht="15">
      <c r="A174" s="109" t="s">
        <v>336</v>
      </c>
      <c r="B174" s="18" t="s">
        <v>221</v>
      </c>
      <c r="C174" s="39"/>
      <c r="D174" s="19">
        <v>15600</v>
      </c>
      <c r="E174" s="19">
        <v>8000</v>
      </c>
      <c r="F174" s="19">
        <f t="shared" si="0"/>
        <v>7600</v>
      </c>
    </row>
    <row r="175" spans="1:6" ht="15">
      <c r="A175" s="145" t="s">
        <v>337</v>
      </c>
      <c r="B175" s="58" t="s">
        <v>338</v>
      </c>
      <c r="C175" s="37"/>
      <c r="D175" s="101">
        <v>21600</v>
      </c>
      <c r="E175" s="102">
        <f>3000+7000+150</f>
        <v>10150</v>
      </c>
      <c r="F175" s="19">
        <f t="shared" si="0"/>
        <v>11450</v>
      </c>
    </row>
    <row r="176" spans="1:6" ht="18.75">
      <c r="A176" s="145"/>
      <c r="B176" s="6" t="s">
        <v>9</v>
      </c>
      <c r="C176" s="37"/>
      <c r="D176" s="103">
        <f>SUM(D17:D175)</f>
        <v>2755440</v>
      </c>
      <c r="E176" s="103">
        <f>SUM(E17,E30,E43,E56,E57,E70,E83,E87,E100,E130,E143,E156,E172,E173,E174,E175)</f>
        <v>2517698.0300000003</v>
      </c>
      <c r="F176" s="19">
        <f t="shared" si="0"/>
        <v>237741.96999999974</v>
      </c>
    </row>
    <row r="177" spans="1:6" ht="15">
      <c r="A177" s="146" t="s">
        <v>339</v>
      </c>
      <c r="B177" s="18" t="s">
        <v>69</v>
      </c>
      <c r="C177" s="39"/>
      <c r="D177" s="39">
        <v>150000</v>
      </c>
      <c r="E177" s="39">
        <f>SUM(E178:E190)</f>
        <v>93100.01999999999</v>
      </c>
      <c r="F177" s="39">
        <f t="shared" si="0"/>
        <v>56899.98000000001</v>
      </c>
    </row>
    <row r="178" spans="1:6" ht="15">
      <c r="A178" s="20"/>
      <c r="B178" s="21" t="s">
        <v>13</v>
      </c>
      <c r="C178" s="59"/>
      <c r="D178" s="35"/>
      <c r="E178" s="35">
        <v>7871.37</v>
      </c>
      <c r="F178" s="37"/>
    </row>
    <row r="179" spans="1:6" ht="15">
      <c r="A179" s="20"/>
      <c r="B179" s="2" t="s">
        <v>14</v>
      </c>
      <c r="C179" s="37"/>
      <c r="D179" s="35"/>
      <c r="E179" s="35">
        <v>8777.23</v>
      </c>
      <c r="F179" s="37"/>
    </row>
    <row r="180" spans="1:6" ht="15">
      <c r="A180" s="20"/>
      <c r="B180" s="2" t="s">
        <v>15</v>
      </c>
      <c r="C180" s="37"/>
      <c r="D180" s="35"/>
      <c r="E180" s="35">
        <v>7566.46</v>
      </c>
      <c r="F180" s="37"/>
    </row>
    <row r="181" spans="1:6" ht="15">
      <c r="A181" s="20"/>
      <c r="B181" s="2" t="s">
        <v>16</v>
      </c>
      <c r="C181" s="37"/>
      <c r="D181" s="35"/>
      <c r="E181" s="35">
        <v>7876.67</v>
      </c>
      <c r="F181" s="37"/>
    </row>
    <row r="182" spans="1:6" ht="15">
      <c r="A182" s="20"/>
      <c r="B182" s="2" t="s">
        <v>17</v>
      </c>
      <c r="C182" s="37"/>
      <c r="D182" s="35"/>
      <c r="E182" s="35">
        <v>7876.14</v>
      </c>
      <c r="F182" s="37"/>
    </row>
    <row r="183" spans="1:6" ht="15">
      <c r="A183" s="20"/>
      <c r="B183" s="2" t="s">
        <v>18</v>
      </c>
      <c r="C183" s="37"/>
      <c r="D183" s="35"/>
      <c r="E183" s="35">
        <v>7324.83</v>
      </c>
      <c r="F183" s="37"/>
    </row>
    <row r="184" spans="1:6" ht="15">
      <c r="A184" s="20"/>
      <c r="B184" s="21" t="s">
        <v>19</v>
      </c>
      <c r="C184" s="59"/>
      <c r="D184" s="35"/>
      <c r="E184" s="35">
        <v>6828.58</v>
      </c>
      <c r="F184" s="37"/>
    </row>
    <row r="185" spans="1:6" ht="15">
      <c r="A185" s="20"/>
      <c r="B185" s="2" t="s">
        <v>20</v>
      </c>
      <c r="C185" s="37"/>
      <c r="D185" s="35"/>
      <c r="E185" s="35">
        <v>8432.53</v>
      </c>
      <c r="F185" s="37"/>
    </row>
    <row r="186" spans="1:6" ht="15">
      <c r="A186" s="20"/>
      <c r="B186" s="2" t="s">
        <v>21</v>
      </c>
      <c r="C186" s="37"/>
      <c r="D186" s="35"/>
      <c r="E186" s="35">
        <v>7448.83</v>
      </c>
      <c r="F186" s="37"/>
    </row>
    <row r="187" spans="1:6" ht="15">
      <c r="A187" s="20"/>
      <c r="B187" s="2" t="s">
        <v>22</v>
      </c>
      <c r="C187" s="37"/>
      <c r="D187" s="35"/>
      <c r="E187" s="35">
        <f>7725.38+150.07+12</f>
        <v>7887.45</v>
      </c>
      <c r="F187" s="37"/>
    </row>
    <row r="188" spans="1:6" ht="15">
      <c r="A188" s="20"/>
      <c r="B188" s="2" t="s">
        <v>23</v>
      </c>
      <c r="C188" s="37"/>
      <c r="D188" s="35"/>
      <c r="E188" s="35">
        <f>7450.22+143.7+12</f>
        <v>7605.92</v>
      </c>
      <c r="F188" s="37"/>
    </row>
    <row r="189" spans="1:6" ht="15">
      <c r="A189" s="20"/>
      <c r="B189" s="2" t="s">
        <v>30</v>
      </c>
      <c r="C189" s="37"/>
      <c r="D189" s="35"/>
      <c r="E189" s="35">
        <f>7419.18+172.83+12</f>
        <v>7604.01</v>
      </c>
      <c r="F189" s="37"/>
    </row>
    <row r="190" spans="1:6" ht="15.75">
      <c r="A190" s="20"/>
      <c r="B190" s="10"/>
      <c r="C190" s="37"/>
      <c r="D190" s="11"/>
      <c r="E190" s="11"/>
      <c r="F190" s="13"/>
    </row>
    <row r="191" spans="1:6" ht="15.75">
      <c r="A191" s="20"/>
      <c r="B191" s="10" t="s">
        <v>71</v>
      </c>
      <c r="C191" s="61"/>
      <c r="D191" s="11"/>
      <c r="E191" s="11"/>
      <c r="F191" s="13"/>
    </row>
    <row r="192" spans="1:6" ht="15">
      <c r="A192" s="109" t="s">
        <v>340</v>
      </c>
      <c r="B192" s="18" t="s">
        <v>73</v>
      </c>
      <c r="C192" s="39"/>
      <c r="D192" s="39">
        <f>SUM(D193:D197)</f>
        <v>96900</v>
      </c>
      <c r="E192" s="39">
        <f>SUM(E193:E197)</f>
        <v>77553.79</v>
      </c>
      <c r="F192" s="39">
        <f>D192-E192</f>
        <v>19346.210000000006</v>
      </c>
    </row>
    <row r="193" spans="1:6" ht="60">
      <c r="A193" s="20" t="s">
        <v>341</v>
      </c>
      <c r="B193" s="47" t="s">
        <v>230</v>
      </c>
      <c r="C193" s="37"/>
      <c r="D193" s="35">
        <v>32100</v>
      </c>
      <c r="E193" s="35">
        <f>829+1280+964.52+5903.47+13589.14+5680</f>
        <v>28246.129999999997</v>
      </c>
      <c r="F193" s="132" t="s">
        <v>457</v>
      </c>
    </row>
    <row r="194" spans="1:7" ht="45">
      <c r="A194" s="20" t="s">
        <v>342</v>
      </c>
      <c r="B194" s="47" t="s">
        <v>231</v>
      </c>
      <c r="C194" s="37"/>
      <c r="D194" s="35">
        <v>30000</v>
      </c>
      <c r="E194" s="35">
        <f>28704.18</f>
        <v>28704.18</v>
      </c>
      <c r="F194" s="132"/>
      <c r="G194" s="16"/>
    </row>
    <row r="195" spans="1:9" ht="30">
      <c r="A195" s="20" t="s">
        <v>343</v>
      </c>
      <c r="B195" s="108" t="s">
        <v>346</v>
      </c>
      <c r="C195" s="62"/>
      <c r="D195" s="35">
        <v>6000</v>
      </c>
      <c r="E195" s="49">
        <f>5000</f>
        <v>5000</v>
      </c>
      <c r="F195" s="136" t="s">
        <v>387</v>
      </c>
      <c r="G195" s="16"/>
      <c r="I195" s="16"/>
    </row>
    <row r="196" spans="1:7" ht="28.5" customHeight="1">
      <c r="A196" s="20" t="s">
        <v>344</v>
      </c>
      <c r="B196" s="47" t="s">
        <v>347</v>
      </c>
      <c r="C196" s="62"/>
      <c r="D196" s="35">
        <v>3600</v>
      </c>
      <c r="E196" s="49">
        <f>427+1759.8+1145</f>
        <v>3331.8</v>
      </c>
      <c r="F196" s="127" t="s">
        <v>463</v>
      </c>
      <c r="G196" s="16"/>
    </row>
    <row r="197" spans="1:7" ht="60">
      <c r="A197" s="20" t="s">
        <v>345</v>
      </c>
      <c r="B197" s="14" t="s">
        <v>103</v>
      </c>
      <c r="C197" s="62"/>
      <c r="D197" s="35">
        <v>25200</v>
      </c>
      <c r="E197" s="49">
        <f>2500+5945.94+966.34+2859.4</f>
        <v>12271.679999999998</v>
      </c>
      <c r="F197" s="132" t="s">
        <v>434</v>
      </c>
      <c r="G197" s="16"/>
    </row>
    <row r="198" spans="1:6" ht="15">
      <c r="A198" s="109" t="s">
        <v>348</v>
      </c>
      <c r="B198" s="22" t="s">
        <v>76</v>
      </c>
      <c r="C198" s="60"/>
      <c r="D198" s="39">
        <f>SUM(D199:D201)</f>
        <v>65400</v>
      </c>
      <c r="E198" s="39">
        <f>SUM(E199:E201)</f>
        <v>16805.07</v>
      </c>
      <c r="F198" s="39">
        <f>D198-E198</f>
        <v>48594.93</v>
      </c>
    </row>
    <row r="199" spans="1:7" ht="45">
      <c r="A199" s="20" t="s">
        <v>349</v>
      </c>
      <c r="B199" s="14" t="s">
        <v>247</v>
      </c>
      <c r="C199" s="62"/>
      <c r="D199" s="50">
        <v>2400</v>
      </c>
      <c r="E199" s="51"/>
      <c r="F199" s="134"/>
      <c r="G199" s="16"/>
    </row>
    <row r="200" spans="1:7" ht="75">
      <c r="A200" s="20" t="s">
        <v>350</v>
      </c>
      <c r="B200" s="14" t="s">
        <v>249</v>
      </c>
      <c r="C200" s="62"/>
      <c r="D200" s="50">
        <v>24000</v>
      </c>
      <c r="E200" s="50">
        <f>3300.64+904.43</f>
        <v>4205.07</v>
      </c>
      <c r="F200" s="134" t="s">
        <v>166</v>
      </c>
      <c r="G200" s="16"/>
    </row>
    <row r="201" spans="1:7" ht="30">
      <c r="A201" s="20" t="s">
        <v>351</v>
      </c>
      <c r="B201" s="47" t="s">
        <v>352</v>
      </c>
      <c r="C201" s="62"/>
      <c r="D201" s="50">
        <v>39000</v>
      </c>
      <c r="E201" s="51">
        <f>12600</f>
        <v>12600</v>
      </c>
      <c r="F201" s="134" t="s">
        <v>435</v>
      </c>
      <c r="G201" s="16"/>
    </row>
    <row r="202" spans="1:7" ht="15">
      <c r="A202" s="109" t="s">
        <v>353</v>
      </c>
      <c r="B202" s="22" t="s">
        <v>81</v>
      </c>
      <c r="C202" s="60"/>
      <c r="D202" s="52">
        <f>SUM(D203:D211)</f>
        <v>483000</v>
      </c>
      <c r="E202" s="52">
        <f>SUM(E203:E211)</f>
        <v>495952.61999999994</v>
      </c>
      <c r="F202" s="19">
        <f>D202-E202</f>
        <v>-12952.619999999937</v>
      </c>
      <c r="G202" s="16"/>
    </row>
    <row r="203" spans="1:7" ht="15">
      <c r="A203" s="20" t="s">
        <v>354</v>
      </c>
      <c r="B203" s="47" t="s">
        <v>363</v>
      </c>
      <c r="C203" s="62"/>
      <c r="D203" s="50">
        <v>130800</v>
      </c>
      <c r="E203" s="51">
        <f>3847+204334</f>
        <v>208181</v>
      </c>
      <c r="F203" s="134" t="s">
        <v>429</v>
      </c>
      <c r="G203" s="16"/>
    </row>
    <row r="204" spans="1:6" ht="15">
      <c r="A204" s="20" t="s">
        <v>355</v>
      </c>
      <c r="B204" s="47" t="s">
        <v>364</v>
      </c>
      <c r="C204" s="62"/>
      <c r="D204" s="50">
        <v>6000</v>
      </c>
      <c r="E204" s="51">
        <f>711</f>
        <v>711</v>
      </c>
      <c r="F204" s="134" t="s">
        <v>437</v>
      </c>
    </row>
    <row r="205" spans="1:9" ht="60">
      <c r="A205" s="20" t="s">
        <v>356</v>
      </c>
      <c r="B205" s="47" t="s">
        <v>365</v>
      </c>
      <c r="C205" s="62"/>
      <c r="D205" s="50">
        <v>260400</v>
      </c>
      <c r="E205" s="51">
        <f>206348.72+5386</f>
        <v>211734.72</v>
      </c>
      <c r="F205" s="136" t="s">
        <v>442</v>
      </c>
      <c r="G205" s="16"/>
      <c r="I205" s="16"/>
    </row>
    <row r="206" spans="1:7" ht="15">
      <c r="A206" s="20" t="s">
        <v>357</v>
      </c>
      <c r="B206" s="47" t="s">
        <v>366</v>
      </c>
      <c r="C206" s="62"/>
      <c r="D206" s="50">
        <v>16800</v>
      </c>
      <c r="E206" s="51">
        <f>7966.6</f>
        <v>7966.6</v>
      </c>
      <c r="F206" s="136" t="s">
        <v>441</v>
      </c>
      <c r="G206" s="16"/>
    </row>
    <row r="207" spans="1:6" ht="30">
      <c r="A207" s="20" t="s">
        <v>358</v>
      </c>
      <c r="B207" s="14" t="s">
        <v>284</v>
      </c>
      <c r="C207" s="62"/>
      <c r="D207" s="50">
        <v>1800</v>
      </c>
      <c r="E207" s="51"/>
      <c r="F207" s="134"/>
    </row>
    <row r="208" spans="1:6" ht="15">
      <c r="A208" s="20" t="s">
        <v>359</v>
      </c>
      <c r="B208" s="47" t="s">
        <v>367</v>
      </c>
      <c r="C208" s="62"/>
      <c r="D208" s="50">
        <v>48000</v>
      </c>
      <c r="E208" s="51">
        <f>29985.5+29798.8</f>
        <v>59784.3</v>
      </c>
      <c r="F208" s="160" t="s">
        <v>311</v>
      </c>
    </row>
    <row r="209" spans="1:9" ht="30">
      <c r="A209" s="20" t="s">
        <v>360</v>
      </c>
      <c r="B209" s="47" t="s">
        <v>368</v>
      </c>
      <c r="C209" s="62"/>
      <c r="D209" s="50">
        <v>4200</v>
      </c>
      <c r="E209" s="159"/>
      <c r="F209" s="162"/>
      <c r="G209" s="158"/>
      <c r="I209" s="16"/>
    </row>
    <row r="210" spans="1:7" ht="15">
      <c r="A210" s="20" t="s">
        <v>361</v>
      </c>
      <c r="B210" s="14" t="s">
        <v>109</v>
      </c>
      <c r="C210" s="62"/>
      <c r="D210" s="50">
        <v>3000</v>
      </c>
      <c r="E210" s="51"/>
      <c r="F210" s="161"/>
      <c r="G210" s="16"/>
    </row>
    <row r="211" spans="1:7" ht="30">
      <c r="A211" s="20" t="s">
        <v>362</v>
      </c>
      <c r="B211" s="47" t="s">
        <v>293</v>
      </c>
      <c r="C211" s="62"/>
      <c r="D211" s="50">
        <v>12000</v>
      </c>
      <c r="E211" s="51">
        <f>7500+75</f>
        <v>7575</v>
      </c>
      <c r="F211" s="134" t="s">
        <v>426</v>
      </c>
      <c r="G211" s="16"/>
    </row>
    <row r="212" spans="1:6" ht="15">
      <c r="A212" s="109" t="s">
        <v>372</v>
      </c>
      <c r="B212" s="22" t="s">
        <v>87</v>
      </c>
      <c r="C212" s="60"/>
      <c r="D212" s="52">
        <f>SUM(D213:D222)</f>
        <v>125820</v>
      </c>
      <c r="E212" s="52">
        <f>SUM(E213:E222)</f>
        <v>84809.24</v>
      </c>
      <c r="F212" s="19">
        <f>D212-E212</f>
        <v>41010.759999999995</v>
      </c>
    </row>
    <row r="213" spans="1:12" ht="45">
      <c r="A213" s="20" t="s">
        <v>373</v>
      </c>
      <c r="B213" s="47" t="s">
        <v>369</v>
      </c>
      <c r="C213" s="62"/>
      <c r="D213" s="50">
        <v>72000</v>
      </c>
      <c r="E213" s="53">
        <v>71400</v>
      </c>
      <c r="F213" s="129" t="s">
        <v>287</v>
      </c>
      <c r="I213" s="16"/>
      <c r="L213" s="16"/>
    </row>
    <row r="214" spans="1:10" ht="28.5" customHeight="1">
      <c r="A214" s="20" t="s">
        <v>374</v>
      </c>
      <c r="B214" s="47" t="s">
        <v>370</v>
      </c>
      <c r="C214" s="62"/>
      <c r="D214" s="50">
        <v>9600</v>
      </c>
      <c r="E214" s="51">
        <f>1065.96</f>
        <v>1065.96</v>
      </c>
      <c r="F214" s="129" t="s">
        <v>438</v>
      </c>
      <c r="G214" s="16"/>
      <c r="H214" s="16"/>
      <c r="J214" s="16"/>
    </row>
    <row r="215" spans="1:10" ht="15">
      <c r="A215" s="20" t="s">
        <v>375</v>
      </c>
      <c r="B215" s="47" t="s">
        <v>371</v>
      </c>
      <c r="C215" s="62"/>
      <c r="D215" s="50">
        <v>18000</v>
      </c>
      <c r="E215" s="51"/>
      <c r="F215" s="129"/>
      <c r="H215" s="16"/>
      <c r="J215" s="16"/>
    </row>
    <row r="216" spans="1:10" ht="15">
      <c r="A216" s="20" t="s">
        <v>376</v>
      </c>
      <c r="B216" s="14" t="s">
        <v>113</v>
      </c>
      <c r="C216" s="62"/>
      <c r="D216" s="50">
        <v>1800</v>
      </c>
      <c r="E216" s="51"/>
      <c r="F216" s="129"/>
      <c r="G216" s="16"/>
      <c r="J216" s="16"/>
    </row>
    <row r="217" spans="1:6" ht="60">
      <c r="A217" s="20" t="s">
        <v>377</v>
      </c>
      <c r="B217" s="47" t="s">
        <v>294</v>
      </c>
      <c r="C217" s="62"/>
      <c r="D217" s="50">
        <v>5400</v>
      </c>
      <c r="E217" s="51">
        <f>6491.96+320+1700</f>
        <v>8511.96</v>
      </c>
      <c r="F217" s="129" t="s">
        <v>439</v>
      </c>
    </row>
    <row r="218" spans="1:7" ht="15">
      <c r="A218" s="20" t="s">
        <v>378</v>
      </c>
      <c r="B218" s="14" t="s">
        <v>115</v>
      </c>
      <c r="C218" s="62"/>
      <c r="D218" s="50">
        <v>6000</v>
      </c>
      <c r="E218" s="51"/>
      <c r="F218" s="129"/>
      <c r="G218" s="16"/>
    </row>
    <row r="219" spans="1:8" ht="45">
      <c r="A219" s="20" t="s">
        <v>379</v>
      </c>
      <c r="B219" s="14" t="s">
        <v>119</v>
      </c>
      <c r="C219" s="62"/>
      <c r="D219" s="50">
        <v>5400</v>
      </c>
      <c r="E219" s="51">
        <f>2605.7</f>
        <v>2605.7</v>
      </c>
      <c r="F219" s="117" t="s">
        <v>436</v>
      </c>
      <c r="H219" s="16"/>
    </row>
    <row r="220" spans="1:6" ht="15">
      <c r="A220" s="20" t="s">
        <v>380</v>
      </c>
      <c r="B220" s="14" t="s">
        <v>89</v>
      </c>
      <c r="C220" s="62"/>
      <c r="D220" s="50">
        <v>1920</v>
      </c>
      <c r="E220" s="51">
        <f>983.17</f>
        <v>983.17</v>
      </c>
      <c r="F220" s="117" t="s">
        <v>398</v>
      </c>
    </row>
    <row r="221" spans="1:6" ht="15">
      <c r="A221" s="20" t="s">
        <v>381</v>
      </c>
      <c r="B221" s="14" t="s">
        <v>90</v>
      </c>
      <c r="C221" s="62"/>
      <c r="D221" s="50">
        <v>1200</v>
      </c>
      <c r="E221" s="51">
        <f>242.45</f>
        <v>242.45</v>
      </c>
      <c r="F221" s="129" t="s">
        <v>400</v>
      </c>
    </row>
    <row r="222" spans="1:6" ht="15">
      <c r="A222" s="20" t="s">
        <v>382</v>
      </c>
      <c r="B222" s="14" t="s">
        <v>88</v>
      </c>
      <c r="C222" s="62"/>
      <c r="D222" s="50">
        <v>4500</v>
      </c>
      <c r="E222" s="51"/>
      <c r="F222" s="129"/>
    </row>
    <row r="223" spans="1:6" ht="30">
      <c r="A223" s="145" t="s">
        <v>383</v>
      </c>
      <c r="B223" s="148" t="s">
        <v>384</v>
      </c>
      <c r="C223" s="62"/>
      <c r="D223" s="147">
        <v>48000</v>
      </c>
      <c r="E223" s="147">
        <f>22398.05+3687.97+8107.65+4294.34+4294.34</f>
        <v>42782.34999999999</v>
      </c>
      <c r="F223" s="19">
        <f>D223-E223</f>
        <v>5217.650000000009</v>
      </c>
    </row>
    <row r="224" spans="1:6" ht="26.25">
      <c r="A224" s="109" t="s">
        <v>385</v>
      </c>
      <c r="B224" s="22" t="s">
        <v>116</v>
      </c>
      <c r="C224" s="60"/>
      <c r="D224" s="52">
        <v>36000</v>
      </c>
      <c r="E224" s="52">
        <f>784+5000</f>
        <v>5784</v>
      </c>
      <c r="F224" s="19">
        <f>D224-E224</f>
        <v>30216</v>
      </c>
    </row>
    <row r="225" spans="1:6" ht="15">
      <c r="A225" s="109" t="s">
        <v>386</v>
      </c>
      <c r="B225" s="22" t="s">
        <v>93</v>
      </c>
      <c r="C225" s="60"/>
      <c r="D225" s="52">
        <v>89340</v>
      </c>
      <c r="E225" s="52">
        <f>SUM(E226:E229)</f>
        <v>223507.95</v>
      </c>
      <c r="F225" s="19">
        <f>D225-E225</f>
        <v>-134167.95</v>
      </c>
    </row>
    <row r="226" spans="1:6" ht="15">
      <c r="A226" s="2"/>
      <c r="B226" s="2" t="s">
        <v>388</v>
      </c>
      <c r="C226" s="37"/>
      <c r="D226" s="50"/>
      <c r="E226" s="50">
        <f>13626.91+13899.54</f>
        <v>27526.45</v>
      </c>
      <c r="F226" s="47" t="s">
        <v>389</v>
      </c>
    </row>
    <row r="227" spans="1:6" ht="15">
      <c r="A227" s="2"/>
      <c r="B227" s="2" t="s">
        <v>391</v>
      </c>
      <c r="C227" s="37"/>
      <c r="D227" s="50"/>
      <c r="E227" s="53">
        <v>195981.5</v>
      </c>
      <c r="F227" s="138"/>
    </row>
    <row r="228" spans="1:6" ht="15">
      <c r="A228" s="2"/>
      <c r="B228" s="2"/>
      <c r="C228" s="37"/>
      <c r="D228" s="50"/>
      <c r="E228" s="53"/>
      <c r="F228" s="47"/>
    </row>
    <row r="229" spans="1:6" ht="15">
      <c r="A229" s="2"/>
      <c r="B229" s="2"/>
      <c r="C229" s="37"/>
      <c r="D229" s="50"/>
      <c r="E229" s="53"/>
      <c r="F229" s="47"/>
    </row>
    <row r="230" spans="1:6" ht="13.5" customHeight="1">
      <c r="A230" s="2"/>
      <c r="B230" s="58" t="s">
        <v>303</v>
      </c>
      <c r="C230" s="37"/>
      <c r="D230" s="50"/>
      <c r="E230" s="137">
        <f>SUM(E231:E233)</f>
        <v>950292.52</v>
      </c>
      <c r="F230" s="2"/>
    </row>
    <row r="231" spans="1:6" ht="27.75" customHeight="1">
      <c r="A231" s="2"/>
      <c r="B231" s="47" t="s">
        <v>321</v>
      </c>
      <c r="C231" s="37"/>
      <c r="D231" s="50"/>
      <c r="E231" s="53">
        <f>78836.94+27930.69+27930.69+27930.69+27029.7+27029.7+27930.69</f>
        <v>244619.10000000003</v>
      </c>
      <c r="F231" s="2"/>
    </row>
    <row r="232" spans="1:6" ht="15">
      <c r="A232" s="2"/>
      <c r="B232" s="47" t="s">
        <v>392</v>
      </c>
      <c r="C232" s="37"/>
      <c r="D232" s="50"/>
      <c r="E232" s="53">
        <v>703297.42</v>
      </c>
      <c r="F232" s="2"/>
    </row>
    <row r="233" spans="1:6" ht="30">
      <c r="A233" s="2"/>
      <c r="B233" s="47" t="s">
        <v>308</v>
      </c>
      <c r="C233" s="37"/>
      <c r="D233" s="50"/>
      <c r="E233" s="53">
        <v>2376</v>
      </c>
      <c r="F233" s="2"/>
    </row>
    <row r="234" spans="1:6" ht="15">
      <c r="A234" s="2"/>
      <c r="B234" s="47"/>
      <c r="C234" s="37"/>
      <c r="D234" s="50"/>
      <c r="E234" s="53"/>
      <c r="F234" s="2"/>
    </row>
    <row r="235" spans="1:6" ht="15" hidden="1">
      <c r="A235" s="2"/>
      <c r="B235" s="47"/>
      <c r="C235" s="37"/>
      <c r="D235" s="50"/>
      <c r="E235" s="53"/>
      <c r="F235" s="2"/>
    </row>
    <row r="236" spans="1:6" ht="15" hidden="1">
      <c r="A236" s="2"/>
      <c r="B236" s="47"/>
      <c r="C236" s="37"/>
      <c r="D236" s="50"/>
      <c r="E236" s="53"/>
      <c r="F236" s="2"/>
    </row>
    <row r="237" spans="1:6" ht="15" hidden="1">
      <c r="A237" s="2"/>
      <c r="B237" s="47"/>
      <c r="C237" s="37"/>
      <c r="D237" s="50"/>
      <c r="E237" s="54"/>
      <c r="F237" s="2"/>
    </row>
    <row r="238" spans="1:6" ht="15" hidden="1">
      <c r="A238" s="2"/>
      <c r="B238" s="47"/>
      <c r="C238" s="37"/>
      <c r="D238" s="50"/>
      <c r="E238" s="54"/>
      <c r="F238" s="2"/>
    </row>
    <row r="239" spans="1:6" ht="15">
      <c r="A239" s="4"/>
      <c r="B239" s="4" t="s">
        <v>94</v>
      </c>
      <c r="C239" s="32"/>
      <c r="D239" s="55"/>
      <c r="E239" s="55">
        <f>E225+E224+E212+E202+E198+E192+E174+E173+E172+E156+E143+E130+E100+E87+E83+E70+E43+E30+E17+E230+E56+E57+E223+E175</f>
        <v>4415185.57</v>
      </c>
      <c r="F239" s="4"/>
    </row>
    <row r="240" spans="1:6" ht="18">
      <c r="A240" s="2"/>
      <c r="B240" s="29" t="s">
        <v>9</v>
      </c>
      <c r="C240" s="37"/>
      <c r="D240" s="56"/>
      <c r="E240" s="57">
        <f>SUM(E239:E239)</f>
        <v>4415185.57</v>
      </c>
      <c r="F240" s="2"/>
    </row>
    <row r="241" ht="15">
      <c r="F241" s="30"/>
    </row>
    <row r="242" spans="2:6" ht="15">
      <c r="B242" t="s">
        <v>95</v>
      </c>
      <c r="E242">
        <v>12062.97</v>
      </c>
      <c r="F242"/>
    </row>
    <row r="243" ht="15">
      <c r="F243" s="30"/>
    </row>
    <row r="244" ht="15">
      <c r="F244" s="30"/>
    </row>
    <row r="245" spans="2:6" ht="15">
      <c r="B245" t="s">
        <v>96</v>
      </c>
      <c r="F245" s="30" t="s">
        <v>130</v>
      </c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  <row r="394" ht="15">
      <c r="F394" s="30"/>
    </row>
    <row r="395" ht="15">
      <c r="F395" s="30"/>
    </row>
    <row r="396" ht="15">
      <c r="F396" s="30"/>
    </row>
    <row r="397" ht="15">
      <c r="F397" s="30"/>
    </row>
  </sheetData>
  <sheetProtection/>
  <mergeCells count="3">
    <mergeCell ref="A1:F1"/>
    <mergeCell ref="A2:B2"/>
    <mergeCell ref="D2:F2"/>
  </mergeCells>
  <printOptions/>
  <pageMargins left="0.6299212598425197" right="0.2362204724409449" top="0.5" bottom="0.35" header="0.31496062992125984" footer="0.2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pane xSplit="1" ySplit="1" topLeftCell="G2" activePane="bottomRight" state="frozen"/>
      <selection pane="topLeft" activeCell="B25" sqref="B25"/>
      <selection pane="topRight" activeCell="S1" sqref="S1:S16384"/>
      <selection pane="bottomLeft" activeCell="A13" sqref="A13"/>
      <selection pane="bottomRight" activeCell="T13" sqref="T13:V13"/>
    </sheetView>
  </sheetViews>
  <sheetFormatPr defaultColWidth="9.140625" defaultRowHeight="15"/>
  <cols>
    <col min="1" max="1" width="23.57421875" style="76" customWidth="1"/>
    <col min="2" max="2" width="9.421875" style="80" customWidth="1"/>
    <col min="3" max="6" width="9.140625" style="80" customWidth="1"/>
    <col min="7" max="16384" width="9.140625" style="76" customWidth="1"/>
  </cols>
  <sheetData>
    <row r="1" spans="1:23" ht="15">
      <c r="A1" s="82" t="s">
        <v>161</v>
      </c>
      <c r="B1" s="176" t="s">
        <v>13</v>
      </c>
      <c r="C1" s="176"/>
      <c r="D1" s="176"/>
      <c r="E1" s="177" t="s">
        <v>14</v>
      </c>
      <c r="F1" s="178"/>
      <c r="G1" s="83" t="s">
        <v>15</v>
      </c>
      <c r="H1" s="179" t="s">
        <v>16</v>
      </c>
      <c r="I1" s="180"/>
      <c r="J1" s="181" t="s">
        <v>17</v>
      </c>
      <c r="K1" s="182"/>
      <c r="L1" s="183" t="s">
        <v>18</v>
      </c>
      <c r="M1" s="184"/>
      <c r="N1" s="110" t="s">
        <v>19</v>
      </c>
      <c r="O1" s="112" t="s">
        <v>20</v>
      </c>
      <c r="P1" s="185" t="s">
        <v>21</v>
      </c>
      <c r="Q1" s="186"/>
      <c r="R1" s="172" t="s">
        <v>22</v>
      </c>
      <c r="S1" s="173"/>
      <c r="T1" s="174" t="s">
        <v>23</v>
      </c>
      <c r="U1" s="175"/>
      <c r="V1" s="170" t="s">
        <v>30</v>
      </c>
      <c r="W1" s="171"/>
    </row>
    <row r="2" spans="1:23" ht="15">
      <c r="A2" s="76" t="s">
        <v>162</v>
      </c>
      <c r="B2" s="77"/>
      <c r="C2" s="77"/>
      <c r="D2" s="77"/>
      <c r="E2" s="79">
        <f>80+102+361.95+469.3+106.8</f>
        <v>1120.05</v>
      </c>
      <c r="F2" s="79"/>
      <c r="G2" s="81">
        <f>575+486.5+84.9+338.6+438.25+258.88+295.2</f>
        <v>2477.33</v>
      </c>
      <c r="H2" s="85">
        <f>80+300+250+79.9+200+313.82+58.2+381.5</f>
        <v>1663.42</v>
      </c>
      <c r="I2" s="85"/>
      <c r="J2" s="84">
        <f>637.84+264+160+1310+173.45</f>
        <v>2545.29</v>
      </c>
      <c r="K2" s="84"/>
      <c r="L2" s="86">
        <f>138+1916+103.5+1200</f>
        <v>3357.5</v>
      </c>
      <c r="M2" s="86">
        <f>495+198+107</f>
        <v>800</v>
      </c>
      <c r="N2" s="87">
        <f>385.82+288.52+200+46+142.8+171.15</f>
        <v>1234.29</v>
      </c>
      <c r="O2" s="113">
        <f>331.08+296+80+809</f>
        <v>1516.08</v>
      </c>
      <c r="P2" s="111">
        <f>164.8+415.07+98.2</f>
        <v>678.07</v>
      </c>
      <c r="Q2" s="111"/>
      <c r="R2" s="87">
        <f>92</f>
        <v>92</v>
      </c>
      <c r="S2" s="87"/>
      <c r="T2" s="139">
        <f>400+60+76.2+1319</f>
        <v>1855.2</v>
      </c>
      <c r="U2" s="139"/>
      <c r="V2" s="142">
        <f>550+745+425.5+800</f>
        <v>2520.5</v>
      </c>
      <c r="W2" s="142"/>
    </row>
    <row r="3" spans="2:23" ht="15">
      <c r="B3" s="118"/>
      <c r="C3" s="118"/>
      <c r="D3" s="118"/>
      <c r="E3" s="119" t="s">
        <v>413</v>
      </c>
      <c r="F3" s="119"/>
      <c r="G3" s="120" t="s">
        <v>412</v>
      </c>
      <c r="H3" s="121" t="s">
        <v>408</v>
      </c>
      <c r="I3" s="121"/>
      <c r="J3" s="122" t="s">
        <v>407</v>
      </c>
      <c r="K3" s="122"/>
      <c r="L3" s="123" t="s">
        <v>418</v>
      </c>
      <c r="M3" s="123"/>
      <c r="N3" s="124" t="s">
        <v>423</v>
      </c>
      <c r="O3" s="125" t="s">
        <v>424</v>
      </c>
      <c r="P3" s="126" t="s">
        <v>427</v>
      </c>
      <c r="Q3" s="126"/>
      <c r="R3" s="124" t="s">
        <v>143</v>
      </c>
      <c r="S3" s="124"/>
      <c r="T3" s="155" t="s">
        <v>449</v>
      </c>
      <c r="U3" s="155"/>
      <c r="V3" s="143" t="s">
        <v>454</v>
      </c>
      <c r="W3" s="144"/>
    </row>
    <row r="4" spans="1:23" ht="15">
      <c r="A4" s="76" t="s">
        <v>163</v>
      </c>
      <c r="B4" s="77">
        <f>200+300</f>
        <v>500</v>
      </c>
      <c r="C4" s="77"/>
      <c r="D4" s="77"/>
      <c r="E4" s="79"/>
      <c r="F4" s="79"/>
      <c r="G4" s="81">
        <f>100</f>
        <v>100</v>
      </c>
      <c r="H4" s="85">
        <v>200</v>
      </c>
      <c r="I4" s="85"/>
      <c r="J4" s="84"/>
      <c r="K4" s="84"/>
      <c r="L4" s="86">
        <f>200+200</f>
        <v>400</v>
      </c>
      <c r="M4" s="86">
        <v>100</v>
      </c>
      <c r="N4" s="87"/>
      <c r="O4" s="113">
        <v>100</v>
      </c>
      <c r="P4" s="111">
        <f>100+100+100</f>
        <v>300</v>
      </c>
      <c r="Q4" s="111"/>
      <c r="R4" s="87">
        <f>100</f>
        <v>100</v>
      </c>
      <c r="S4" s="87"/>
      <c r="T4" s="139">
        <v>200</v>
      </c>
      <c r="U4" s="139"/>
      <c r="V4" s="142">
        <f>200+100</f>
        <v>300</v>
      </c>
      <c r="W4" s="142"/>
    </row>
    <row r="5" spans="1:23" ht="15">
      <c r="A5" s="76" t="s">
        <v>164</v>
      </c>
      <c r="B5" s="77"/>
      <c r="C5" s="77"/>
      <c r="D5" s="77"/>
      <c r="E5" s="79">
        <f>102+169+540</f>
        <v>811</v>
      </c>
      <c r="F5" s="79">
        <f>161.7+900</f>
        <v>1061.7</v>
      </c>
      <c r="G5" s="81">
        <f>40.8</f>
        <v>40.8</v>
      </c>
      <c r="H5" s="85">
        <f>944.95+27</f>
        <v>971.95</v>
      </c>
      <c r="I5" s="85"/>
      <c r="J5" s="84"/>
      <c r="K5" s="84"/>
      <c r="L5" s="86"/>
      <c r="M5" s="86"/>
      <c r="N5" s="87">
        <f>900</f>
        <v>900</v>
      </c>
      <c r="O5" s="113">
        <v>530</v>
      </c>
      <c r="P5" s="111">
        <f>209</f>
        <v>209</v>
      </c>
      <c r="Q5" s="111"/>
      <c r="R5" s="87">
        <f>60</f>
        <v>60</v>
      </c>
      <c r="S5" s="87"/>
      <c r="T5" s="139">
        <f>939.95+304.83+432.45+503.6</f>
        <v>2180.83</v>
      </c>
      <c r="U5" s="139"/>
      <c r="V5" s="142"/>
      <c r="W5" s="142"/>
    </row>
    <row r="6" spans="2:23" ht="15">
      <c r="B6" s="118"/>
      <c r="C6" s="118"/>
      <c r="D6" s="118"/>
      <c r="E6" s="119" t="s">
        <v>406</v>
      </c>
      <c r="F6" s="119"/>
      <c r="G6" s="120" t="s">
        <v>411</v>
      </c>
      <c r="H6" s="121" t="s">
        <v>410</v>
      </c>
      <c r="I6" s="121"/>
      <c r="J6" s="122"/>
      <c r="K6" s="122"/>
      <c r="L6" s="123"/>
      <c r="M6" s="123"/>
      <c r="N6" s="124" t="s">
        <v>296</v>
      </c>
      <c r="O6" s="125" t="s">
        <v>425</v>
      </c>
      <c r="P6" s="126" t="s">
        <v>209</v>
      </c>
      <c r="Q6" s="126"/>
      <c r="R6" s="124" t="s">
        <v>430</v>
      </c>
      <c r="S6" s="124"/>
      <c r="T6" s="155" t="s">
        <v>450</v>
      </c>
      <c r="U6" s="155"/>
      <c r="V6" s="142"/>
      <c r="W6" s="142"/>
    </row>
    <row r="7" spans="1:24" ht="15">
      <c r="A7" s="76" t="s">
        <v>281</v>
      </c>
      <c r="B7" s="77"/>
      <c r="C7" s="77"/>
      <c r="D7" s="77"/>
      <c r="E7" s="79">
        <v>900</v>
      </c>
      <c r="F7" s="79"/>
      <c r="G7" s="81">
        <v>900</v>
      </c>
      <c r="H7" s="85">
        <v>1000</v>
      </c>
      <c r="I7" s="85"/>
      <c r="J7" s="84">
        <v>1000</v>
      </c>
      <c r="K7" s="84"/>
      <c r="L7" s="86">
        <v>999.68</v>
      </c>
      <c r="M7" s="86"/>
      <c r="N7" s="87">
        <f>999.68</f>
        <v>999.68</v>
      </c>
      <c r="O7" s="113">
        <v>999.86</v>
      </c>
      <c r="P7" s="111">
        <f>1000</f>
        <v>1000</v>
      </c>
      <c r="Q7" s="111"/>
      <c r="R7" s="87">
        <v>999.86</v>
      </c>
      <c r="S7" s="87"/>
      <c r="T7" s="139">
        <v>1000</v>
      </c>
      <c r="U7" s="139"/>
      <c r="V7" s="142">
        <f>1100+1000</f>
        <v>2100</v>
      </c>
      <c r="W7" s="142"/>
      <c r="X7" s="76" t="s">
        <v>310</v>
      </c>
    </row>
    <row r="8" spans="1:23" ht="15">
      <c r="A8" s="76" t="s">
        <v>165</v>
      </c>
      <c r="B8" s="77"/>
      <c r="C8" s="77"/>
      <c r="D8" s="77"/>
      <c r="E8" s="79"/>
      <c r="F8" s="79"/>
      <c r="G8" s="81">
        <f>26</f>
        <v>26</v>
      </c>
      <c r="H8" s="85"/>
      <c r="I8" s="85"/>
      <c r="J8" s="84"/>
      <c r="K8" s="84"/>
      <c r="L8" s="86">
        <v>1250</v>
      </c>
      <c r="M8" s="86"/>
      <c r="N8" s="87">
        <f>10+30+60</f>
        <v>100</v>
      </c>
      <c r="O8" s="113"/>
      <c r="P8" s="111"/>
      <c r="Q8" s="111"/>
      <c r="R8" s="87"/>
      <c r="S8" s="87"/>
      <c r="T8" s="139"/>
      <c r="U8" s="139"/>
      <c r="V8" s="142">
        <f>1250</f>
        <v>1250</v>
      </c>
      <c r="W8" s="142"/>
    </row>
    <row r="9" spans="1:20" ht="76.5" customHeight="1">
      <c r="A9" s="128" t="s">
        <v>230</v>
      </c>
      <c r="E9" s="80">
        <f>510</f>
        <v>510</v>
      </c>
      <c r="J9" s="76">
        <f>383.57+258+432</f>
        <v>1073.57</v>
      </c>
      <c r="L9" s="76">
        <f>467.12+1081.6+258+27+799.4</f>
        <v>2633.12</v>
      </c>
      <c r="N9" s="76">
        <f>500.28</f>
        <v>500.28</v>
      </c>
      <c r="O9" s="76">
        <f>331</f>
        <v>331</v>
      </c>
      <c r="R9" s="76">
        <f>734.5+121</f>
        <v>855.5</v>
      </c>
      <c r="T9" s="76">
        <f>340+384+12865.14</f>
        <v>13589.14</v>
      </c>
    </row>
    <row r="10" spans="1:23" ht="19.5" customHeight="1">
      <c r="A10" s="149"/>
      <c r="B10" s="115"/>
      <c r="C10" s="116"/>
      <c r="D10" s="116"/>
      <c r="E10" s="116" t="s">
        <v>394</v>
      </c>
      <c r="F10" s="116"/>
      <c r="G10" s="127"/>
      <c r="H10" s="127"/>
      <c r="I10" s="127"/>
      <c r="J10" s="127" t="s">
        <v>403</v>
      </c>
      <c r="K10" s="127"/>
      <c r="L10" s="127" t="s">
        <v>419</v>
      </c>
      <c r="M10" s="127"/>
      <c r="N10" s="127" t="s">
        <v>422</v>
      </c>
      <c r="O10" s="127"/>
      <c r="P10" s="127"/>
      <c r="Q10" s="127"/>
      <c r="R10" s="127" t="s">
        <v>431</v>
      </c>
      <c r="T10" s="127" t="s">
        <v>455</v>
      </c>
      <c r="U10" s="127"/>
      <c r="V10" s="127"/>
      <c r="W10" s="127"/>
    </row>
    <row r="11" ht="41.25" customHeight="1">
      <c r="A11" s="149" t="s">
        <v>231</v>
      </c>
    </row>
    <row r="12" spans="1:17" ht="18" customHeight="1">
      <c r="A12" s="149"/>
      <c r="B12" s="116"/>
      <c r="C12" s="116"/>
      <c r="D12" s="116"/>
      <c r="E12" s="116"/>
      <c r="F12" s="11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22" ht="63" customHeight="1">
      <c r="A13" s="149" t="s">
        <v>103</v>
      </c>
      <c r="E13" s="76"/>
      <c r="L13" s="76">
        <f>304.84+568.5+93</f>
        <v>966.3399999999999</v>
      </c>
      <c r="T13" s="76">
        <f>573+362</f>
        <v>935</v>
      </c>
      <c r="V13" s="76">
        <f>1924.4</f>
        <v>1924.4</v>
      </c>
    </row>
    <row r="14" spans="1:23" ht="25.5" customHeight="1">
      <c r="A14" s="114"/>
      <c r="E14" s="76"/>
      <c r="L14" s="127" t="s">
        <v>416</v>
      </c>
      <c r="R14" s="127"/>
      <c r="T14" s="127" t="s">
        <v>451</v>
      </c>
      <c r="U14" s="127"/>
      <c r="V14" s="127" t="s">
        <v>453</v>
      </c>
      <c r="W14" s="127"/>
    </row>
    <row r="15" spans="1:5" ht="27.75" customHeight="1">
      <c r="A15" s="150" t="s">
        <v>289</v>
      </c>
      <c r="E15" s="76"/>
    </row>
    <row r="16" spans="1:17" ht="25.5" customHeight="1">
      <c r="A16" s="151"/>
      <c r="B16" s="116"/>
      <c r="C16" s="116"/>
      <c r="D16" s="116"/>
      <c r="E16" s="127"/>
      <c r="F16" s="11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22" ht="39.75" customHeight="1">
      <c r="A17" s="128" t="s">
        <v>290</v>
      </c>
      <c r="E17" s="76"/>
      <c r="V17" s="76">
        <f>427</f>
        <v>427</v>
      </c>
    </row>
    <row r="18" spans="1:23" ht="23.25" customHeight="1">
      <c r="A18" s="151"/>
      <c r="B18" s="116"/>
      <c r="C18" s="116"/>
      <c r="D18" s="116"/>
      <c r="E18" s="127"/>
      <c r="F18" s="11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T18" s="127"/>
      <c r="U18" s="127"/>
      <c r="V18" s="127" t="s">
        <v>452</v>
      </c>
      <c r="W18" s="127"/>
    </row>
    <row r="19" spans="1:22" ht="60.75" customHeight="1">
      <c r="A19" s="128" t="s">
        <v>247</v>
      </c>
      <c r="V19" s="80"/>
    </row>
    <row r="20" spans="1:22" ht="17.25" customHeight="1">
      <c r="A20" s="78"/>
      <c r="V20" s="127"/>
    </row>
    <row r="21" spans="1:22" ht="96.75">
      <c r="A21" s="128" t="s">
        <v>249</v>
      </c>
      <c r="E21" s="76"/>
      <c r="G21" s="76">
        <f>1308.24</f>
        <v>1308.24</v>
      </c>
      <c r="N21" s="76">
        <f>762.4</f>
        <v>762.4</v>
      </c>
      <c r="P21" s="76">
        <f>1230</f>
        <v>1230</v>
      </c>
      <c r="V21" s="76">
        <f>161.26+743.17</f>
        <v>904.43</v>
      </c>
    </row>
    <row r="22" spans="5:23" ht="15">
      <c r="E22" s="76"/>
      <c r="N22" s="127" t="s">
        <v>166</v>
      </c>
      <c r="O22" s="127"/>
      <c r="P22" s="127" t="s">
        <v>166</v>
      </c>
      <c r="Q22" s="127"/>
      <c r="R22" s="127"/>
      <c r="V22" s="127" t="s">
        <v>166</v>
      </c>
      <c r="W22" s="127"/>
    </row>
    <row r="23" spans="1:22" ht="15">
      <c r="A23" s="76" t="s">
        <v>167</v>
      </c>
      <c r="E23" s="76"/>
      <c r="L23" s="76">
        <f>320</f>
        <v>320</v>
      </c>
      <c r="V23" s="80"/>
    </row>
    <row r="24" spans="5:22" ht="15">
      <c r="E24" s="76"/>
      <c r="L24" s="127" t="s">
        <v>415</v>
      </c>
      <c r="V24" s="127"/>
    </row>
    <row r="25" spans="1:18" ht="60.75" customHeight="1">
      <c r="A25" s="128" t="s">
        <v>119</v>
      </c>
      <c r="E25" s="76"/>
      <c r="H25" s="76">
        <f>799.2+342.5+110</f>
        <v>1251.7</v>
      </c>
      <c r="J25" s="76">
        <v>300</v>
      </c>
      <c r="P25" s="76">
        <f>397</f>
        <v>397</v>
      </c>
      <c r="R25" s="76">
        <f>209+139+309</f>
        <v>657</v>
      </c>
    </row>
    <row r="26" spans="1:18" ht="15">
      <c r="A26" s="152"/>
      <c r="B26" s="116"/>
      <c r="C26" s="116"/>
      <c r="D26" s="116"/>
      <c r="E26" s="127"/>
      <c r="F26" s="116"/>
      <c r="G26" s="127"/>
      <c r="H26" s="127" t="s">
        <v>409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 t="s">
        <v>428</v>
      </c>
    </row>
    <row r="27" spans="1:18" ht="15">
      <c r="A27" s="128" t="s">
        <v>309</v>
      </c>
      <c r="R27" s="76">
        <f>313+1784+1750</f>
        <v>3847</v>
      </c>
    </row>
    <row r="28" spans="1:22" ht="15">
      <c r="A28" s="152"/>
      <c r="R28" s="127" t="s">
        <v>429</v>
      </c>
      <c r="V28" s="127"/>
    </row>
    <row r="29" spans="1:2" ht="15">
      <c r="A29" s="152" t="s">
        <v>168</v>
      </c>
      <c r="B29" s="80">
        <f>784</f>
        <v>784</v>
      </c>
    </row>
    <row r="30" spans="1:22" ht="15">
      <c r="A30" s="152" t="s">
        <v>395</v>
      </c>
      <c r="G30" s="76">
        <v>204</v>
      </c>
      <c r="V30" s="127"/>
    </row>
    <row r="31" spans="1:12" ht="15">
      <c r="A31" s="152" t="s">
        <v>417</v>
      </c>
      <c r="L31" s="76">
        <v>150</v>
      </c>
    </row>
    <row r="32" spans="1:10" ht="15">
      <c r="A32" s="152" t="s">
        <v>397</v>
      </c>
      <c r="H32" s="76">
        <f>29.93+642.11</f>
        <v>672.04</v>
      </c>
      <c r="J32" s="76">
        <f>311.13</f>
        <v>311.13</v>
      </c>
    </row>
    <row r="33" spans="1:17" ht="15">
      <c r="A33" s="152"/>
      <c r="B33" s="116"/>
      <c r="C33" s="116"/>
      <c r="D33" s="116"/>
      <c r="E33" s="116"/>
      <c r="F33" s="116"/>
      <c r="G33" s="127"/>
      <c r="H33" s="127" t="s">
        <v>398</v>
      </c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15">
      <c r="A34" s="154" t="s">
        <v>399</v>
      </c>
      <c r="B34" s="116"/>
      <c r="C34" s="116"/>
      <c r="D34" s="116"/>
      <c r="E34" s="116"/>
      <c r="F34" s="116"/>
      <c r="G34" s="127"/>
      <c r="H34" s="127">
        <f>139.94+102.51</f>
        <v>242.45</v>
      </c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ht="15">
      <c r="A35" s="153"/>
      <c r="B35" s="116"/>
      <c r="C35" s="116"/>
      <c r="D35" s="116"/>
      <c r="E35" s="116"/>
      <c r="F35" s="116"/>
      <c r="G35" s="127"/>
      <c r="H35" s="127" t="s">
        <v>400</v>
      </c>
      <c r="I35" s="127"/>
      <c r="J35" s="127"/>
      <c r="K35" s="127"/>
      <c r="L35" s="127"/>
      <c r="M35" s="127"/>
      <c r="N35" s="127"/>
      <c r="O35" s="127"/>
      <c r="P35" s="127"/>
      <c r="Q35" s="127"/>
    </row>
    <row r="36" spans="1:8" ht="24.75">
      <c r="A36" s="128" t="s">
        <v>364</v>
      </c>
      <c r="G36" s="76">
        <v>453</v>
      </c>
      <c r="H36" s="76">
        <f>258</f>
        <v>258</v>
      </c>
    </row>
    <row r="37" spans="1:8" ht="15">
      <c r="A37" s="152"/>
      <c r="H37" s="127" t="s">
        <v>295</v>
      </c>
    </row>
    <row r="38" spans="1:22" ht="36.75">
      <c r="A38" s="128" t="s">
        <v>292</v>
      </c>
      <c r="V38" s="80"/>
    </row>
    <row r="39" spans="1:22" ht="15">
      <c r="A39" s="153"/>
      <c r="B39" s="116"/>
      <c r="C39" s="116"/>
      <c r="D39" s="116"/>
      <c r="E39" s="116"/>
      <c r="F39" s="11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V39" s="80"/>
    </row>
    <row r="40" spans="1:22" ht="24.75">
      <c r="A40" s="128" t="s">
        <v>404</v>
      </c>
      <c r="J40" s="76">
        <f>655.65</f>
        <v>655.65</v>
      </c>
      <c r="L40" s="76">
        <f>141+165+104.31</f>
        <v>410.31</v>
      </c>
      <c r="V40" s="80"/>
    </row>
    <row r="41" spans="1:22" ht="15">
      <c r="A41" s="153"/>
      <c r="B41" s="116"/>
      <c r="C41" s="116"/>
      <c r="D41" s="116"/>
      <c r="E41" s="116"/>
      <c r="F41" s="116"/>
      <c r="G41" s="127"/>
      <c r="H41" s="127"/>
      <c r="I41" s="127"/>
      <c r="J41" s="127" t="s">
        <v>405</v>
      </c>
      <c r="K41" s="127"/>
      <c r="L41" s="127" t="s">
        <v>420</v>
      </c>
      <c r="M41" s="127"/>
      <c r="N41" s="127"/>
      <c r="O41" s="127"/>
      <c r="P41" s="127"/>
      <c r="Q41" s="127"/>
      <c r="V41" s="80"/>
    </row>
    <row r="42" spans="1:22" ht="72.75">
      <c r="A42" s="128" t="s">
        <v>294</v>
      </c>
      <c r="L42" s="76">
        <f>1700</f>
        <v>1700</v>
      </c>
      <c r="V42" s="80"/>
    </row>
    <row r="43" spans="1:17" ht="15">
      <c r="A43" s="152"/>
      <c r="B43" s="116"/>
      <c r="C43" s="116"/>
      <c r="D43" s="116"/>
      <c r="E43" s="116" t="s">
        <v>278</v>
      </c>
      <c r="F43" s="116"/>
      <c r="G43" s="127"/>
      <c r="H43" s="127"/>
      <c r="I43" s="127"/>
      <c r="J43" s="127"/>
      <c r="K43" s="127"/>
      <c r="L43" s="127" t="s">
        <v>421</v>
      </c>
      <c r="M43" s="127"/>
      <c r="N43" s="127"/>
      <c r="O43" s="127"/>
      <c r="P43" s="127"/>
      <c r="Q43" s="127"/>
    </row>
    <row r="44" spans="1:12" ht="15">
      <c r="A44" s="128" t="s">
        <v>393</v>
      </c>
      <c r="E44" s="80">
        <f>60+140.6+1071</f>
        <v>1271.6</v>
      </c>
      <c r="G44" s="76">
        <f>445</f>
        <v>445</v>
      </c>
      <c r="L44" s="76">
        <f>6250</f>
        <v>6250</v>
      </c>
    </row>
    <row r="45" spans="1:12" ht="15">
      <c r="A45" s="128"/>
      <c r="J45" s="127"/>
      <c r="K45" s="127"/>
      <c r="L45" s="127" t="s">
        <v>414</v>
      </c>
    </row>
    <row r="46" spans="1:12" ht="15">
      <c r="A46" s="128" t="s">
        <v>401</v>
      </c>
      <c r="H46" s="76">
        <f>800+536</f>
        <v>1336</v>
      </c>
      <c r="L46" s="76">
        <f>1350+1350+1350</f>
        <v>4050</v>
      </c>
    </row>
    <row r="47" spans="1:12" ht="15">
      <c r="A47" s="151"/>
      <c r="H47" s="127" t="s">
        <v>402</v>
      </c>
      <c r="L47" s="127" t="s">
        <v>396</v>
      </c>
    </row>
    <row r="48" spans="1:23" ht="15">
      <c r="A48" s="152"/>
      <c r="B48" s="80">
        <f aca="true" t="shared" si="0" ref="B48:G48">B31+B30+B29+B27+B25+B23+B21+B19+B13+B11+B9+B8+B5+B4+B2+B32+B36+B44+B17+B7+B42+B40+B38+B34+B46</f>
        <v>1284</v>
      </c>
      <c r="C48" s="80">
        <f t="shared" si="0"/>
        <v>0</v>
      </c>
      <c r="D48" s="80">
        <f t="shared" si="0"/>
        <v>0</v>
      </c>
      <c r="E48" s="80">
        <f t="shared" si="0"/>
        <v>4612.65</v>
      </c>
      <c r="F48" s="80">
        <f t="shared" si="0"/>
        <v>1061.7</v>
      </c>
      <c r="G48" s="80">
        <f t="shared" si="0"/>
        <v>5954.37</v>
      </c>
      <c r="H48" s="80">
        <f>H31+H30+H29+H27+H25+H23+H21+H19+H13+H11+H9+H8+H5+H4+H2+H32+H36+H44+H17+H7+H42+H40+H38+H34+H46</f>
        <v>7595.56</v>
      </c>
      <c r="I48" s="80">
        <f aca="true" t="shared" si="1" ref="I48:W48">I31+I30+I29+I27+I25+I23+I21+I19+I13+I11+I9+I8+I5+I4+I2+I32+I36+I44+I17+I7+I42+I40+I38+I34+I46</f>
        <v>0</v>
      </c>
      <c r="J48" s="80">
        <f t="shared" si="1"/>
        <v>5885.639999999999</v>
      </c>
      <c r="K48" s="80">
        <f t="shared" si="1"/>
        <v>0</v>
      </c>
      <c r="L48" s="80">
        <f t="shared" si="1"/>
        <v>22486.95</v>
      </c>
      <c r="M48" s="80">
        <f t="shared" si="1"/>
        <v>900</v>
      </c>
      <c r="N48" s="80">
        <f t="shared" si="1"/>
        <v>4496.65</v>
      </c>
      <c r="O48" s="80">
        <f t="shared" si="1"/>
        <v>3476.94</v>
      </c>
      <c r="P48" s="80">
        <f t="shared" si="1"/>
        <v>3814.07</v>
      </c>
      <c r="Q48" s="80">
        <f t="shared" si="1"/>
        <v>0</v>
      </c>
      <c r="R48" s="80">
        <f t="shared" si="1"/>
        <v>6611.36</v>
      </c>
      <c r="S48" s="80">
        <f t="shared" si="1"/>
        <v>0</v>
      </c>
      <c r="T48" s="80">
        <f t="shared" si="1"/>
        <v>19760.170000000002</v>
      </c>
      <c r="U48" s="80">
        <f t="shared" si="1"/>
        <v>0</v>
      </c>
      <c r="V48" s="80">
        <f t="shared" si="1"/>
        <v>9426.33</v>
      </c>
      <c r="W48" s="80">
        <f t="shared" si="1"/>
        <v>0</v>
      </c>
    </row>
    <row r="49" ht="15">
      <c r="A49" s="76" t="s">
        <v>302</v>
      </c>
    </row>
  </sheetData>
  <sheetProtection/>
  <mergeCells count="9">
    <mergeCell ref="V1:W1"/>
    <mergeCell ref="R1:S1"/>
    <mergeCell ref="T1:U1"/>
    <mergeCell ref="B1:D1"/>
    <mergeCell ref="E1:F1"/>
    <mergeCell ref="H1:I1"/>
    <mergeCell ref="J1:K1"/>
    <mergeCell ref="L1:M1"/>
    <mergeCell ref="P1:Q1"/>
  </mergeCells>
  <printOptions/>
  <pageMargins left="0.31496062992125984" right="0.1968503937007874" top="0.3937007874015748" bottom="0.31496062992125984" header="0.3149606299212598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zoomScalePageLayoutView="0" workbookViewId="0" topLeftCell="B28">
      <selection activeCell="E27" sqref="E27"/>
    </sheetView>
  </sheetViews>
  <sheetFormatPr defaultColWidth="9.140625" defaultRowHeight="15"/>
  <cols>
    <col min="2" max="2" width="41.281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31" customWidth="1"/>
    <col min="7" max="7" width="9.57421875" style="0" customWidth="1"/>
    <col min="8" max="9" width="10.57421875" style="0" customWidth="1"/>
  </cols>
  <sheetData>
    <row r="1" spans="1:6" ht="50.25" customHeight="1">
      <c r="A1" s="165" t="s">
        <v>131</v>
      </c>
      <c r="B1" s="165"/>
      <c r="C1" s="165"/>
      <c r="D1" s="165"/>
      <c r="E1" s="165"/>
      <c r="F1" s="165"/>
    </row>
    <row r="2" spans="1:6" ht="15">
      <c r="A2" s="166" t="s">
        <v>0</v>
      </c>
      <c r="B2" s="166"/>
      <c r="C2" s="1"/>
      <c r="D2" s="167" t="s">
        <v>132</v>
      </c>
      <c r="E2" s="167"/>
      <c r="F2" s="167"/>
    </row>
    <row r="3" spans="1:6" ht="51.75">
      <c r="A3" s="2"/>
      <c r="B3" s="2"/>
      <c r="C3" s="3" t="s">
        <v>97</v>
      </c>
      <c r="D3" s="4" t="s">
        <v>1</v>
      </c>
      <c r="E3" s="5" t="s">
        <v>2</v>
      </c>
      <c r="F3" s="4" t="s">
        <v>98</v>
      </c>
    </row>
    <row r="4" spans="1:6" ht="17.25" customHeight="1">
      <c r="A4" s="6">
        <v>1</v>
      </c>
      <c r="B4" s="2" t="s">
        <v>123</v>
      </c>
      <c r="C4" s="32">
        <v>196522.99</v>
      </c>
      <c r="D4" s="32">
        <v>874250.58</v>
      </c>
      <c r="E4" s="33">
        <v>838989.12</v>
      </c>
      <c r="F4" s="32">
        <f>C4+D4-E4</f>
        <v>231784.44999999984</v>
      </c>
    </row>
    <row r="5" spans="1:6" ht="17.25" customHeight="1">
      <c r="A5" s="75"/>
      <c r="B5" s="65"/>
      <c r="C5" s="66"/>
      <c r="D5" s="67"/>
      <c r="E5" s="68"/>
      <c r="F5" s="67"/>
    </row>
    <row r="6" spans="1:7" ht="39" customHeight="1">
      <c r="A6" s="4" t="s">
        <v>3</v>
      </c>
      <c r="B6" s="7"/>
      <c r="C6" s="7"/>
      <c r="D6" s="7" t="s">
        <v>4</v>
      </c>
      <c r="E6" s="8" t="s">
        <v>1</v>
      </c>
      <c r="F6" s="7" t="s">
        <v>5</v>
      </c>
      <c r="G6" s="9"/>
    </row>
    <row r="7" spans="1:9" ht="15.75">
      <c r="A7" s="6"/>
      <c r="B7" s="10" t="s">
        <v>6</v>
      </c>
      <c r="C7" s="10"/>
      <c r="D7" s="38"/>
      <c r="E7" s="38"/>
      <c r="F7" s="38"/>
      <c r="I7" s="9"/>
    </row>
    <row r="8" spans="1:6" ht="15">
      <c r="A8" s="6">
        <v>2</v>
      </c>
      <c r="B8" s="2" t="s">
        <v>99</v>
      </c>
      <c r="C8" s="2"/>
      <c r="D8" s="70">
        <v>2520821</v>
      </c>
      <c r="E8" s="70">
        <v>1370010.71</v>
      </c>
      <c r="F8" s="32">
        <f>D8-E8</f>
        <v>1150810.29</v>
      </c>
    </row>
    <row r="9" spans="1:9" ht="30">
      <c r="A9" s="6">
        <v>3</v>
      </c>
      <c r="B9" s="14" t="s">
        <v>7</v>
      </c>
      <c r="C9" s="14"/>
      <c r="D9" s="70">
        <v>202116</v>
      </c>
      <c r="E9" s="71">
        <v>110839.04</v>
      </c>
      <c r="F9" s="32">
        <f>C9+D9-E9</f>
        <v>91276.96</v>
      </c>
      <c r="I9" s="9"/>
    </row>
    <row r="10" spans="1:9" ht="15">
      <c r="A10" s="6"/>
      <c r="B10" s="14" t="s">
        <v>8</v>
      </c>
      <c r="C10" s="14"/>
      <c r="D10" s="70"/>
      <c r="E10" s="71">
        <v>940.44</v>
      </c>
      <c r="F10" s="32"/>
      <c r="I10" s="9"/>
    </row>
    <row r="11" spans="1:9" ht="15">
      <c r="A11" s="6"/>
      <c r="B11" s="14" t="s">
        <v>125</v>
      </c>
      <c r="C11" s="14"/>
      <c r="D11" s="70"/>
      <c r="E11" s="71">
        <v>12242.31</v>
      </c>
      <c r="F11" s="32"/>
      <c r="I11" s="9"/>
    </row>
    <row r="12" spans="1:9" ht="15">
      <c r="A12" s="6"/>
      <c r="B12" s="14" t="s">
        <v>153</v>
      </c>
      <c r="C12" s="14"/>
      <c r="D12" s="70"/>
      <c r="E12" s="71">
        <v>6444.96</v>
      </c>
      <c r="F12" s="32"/>
      <c r="I12" s="9"/>
    </row>
    <row r="13" spans="1:12" ht="15">
      <c r="A13" s="6"/>
      <c r="B13" s="15" t="s">
        <v>9</v>
      </c>
      <c r="C13" s="15"/>
      <c r="D13" s="69">
        <f>SUM(D8:D11)</f>
        <v>2722937</v>
      </c>
      <c r="E13" s="69">
        <f>SUM(E8:E12)</f>
        <v>1500477.46</v>
      </c>
      <c r="F13" s="69">
        <f>SUM(F8:F11)</f>
        <v>1242087.25</v>
      </c>
      <c r="L13" s="16"/>
    </row>
    <row r="14" spans="1:8" ht="15">
      <c r="A14" s="4" t="s">
        <v>3</v>
      </c>
      <c r="B14" s="4"/>
      <c r="C14" s="4"/>
      <c r="D14" s="72" t="s">
        <v>4</v>
      </c>
      <c r="E14" s="73" t="s">
        <v>2</v>
      </c>
      <c r="F14" s="7" t="s">
        <v>5</v>
      </c>
      <c r="H14" s="9"/>
    </row>
    <row r="15" spans="1:6" ht="15.75">
      <c r="A15" s="6">
        <v>4</v>
      </c>
      <c r="B15" s="10" t="s">
        <v>10</v>
      </c>
      <c r="C15" s="10"/>
      <c r="D15" s="11"/>
      <c r="E15" s="12"/>
      <c r="F15" s="13"/>
    </row>
    <row r="16" spans="1:6" ht="15">
      <c r="A16" s="17" t="s">
        <v>11</v>
      </c>
      <c r="B16" s="18" t="s">
        <v>12</v>
      </c>
      <c r="C16" s="39"/>
      <c r="D16" s="39">
        <v>1271400</v>
      </c>
      <c r="E16" s="40">
        <f>SUM(E17:E28)</f>
        <v>434132.05000000005</v>
      </c>
      <c r="F16" s="39">
        <f>D16-E16</f>
        <v>837267.95</v>
      </c>
    </row>
    <row r="17" spans="1:9" ht="15">
      <c r="A17" s="20"/>
      <c r="B17" s="2" t="s">
        <v>13</v>
      </c>
      <c r="C17" s="37"/>
      <c r="D17" s="34"/>
      <c r="E17" s="41"/>
      <c r="F17" s="37" t="s">
        <v>154</v>
      </c>
      <c r="I17" s="9"/>
    </row>
    <row r="18" spans="1:8" ht="15">
      <c r="A18" s="20"/>
      <c r="B18" s="2" t="s">
        <v>14</v>
      </c>
      <c r="C18" s="37"/>
      <c r="D18" s="35"/>
      <c r="E18" s="41"/>
      <c r="F18" s="37" t="s">
        <v>154</v>
      </c>
      <c r="H18" s="9"/>
    </row>
    <row r="19" spans="1:6" ht="15">
      <c r="A19" s="20"/>
      <c r="B19" s="2" t="s">
        <v>15</v>
      </c>
      <c r="C19" s="37"/>
      <c r="D19" s="35"/>
      <c r="E19" s="41"/>
      <c r="F19" s="37"/>
    </row>
    <row r="20" spans="1:9" ht="15">
      <c r="A20" s="20"/>
      <c r="B20" s="2" t="s">
        <v>16</v>
      </c>
      <c r="C20" s="37"/>
      <c r="D20" s="35"/>
      <c r="E20" s="41"/>
      <c r="F20" s="37" t="s">
        <v>122</v>
      </c>
      <c r="I20" s="9"/>
    </row>
    <row r="21" spans="1:6" ht="15">
      <c r="A21" s="20"/>
      <c r="B21" s="2" t="s">
        <v>17</v>
      </c>
      <c r="C21" s="37"/>
      <c r="D21" s="35"/>
      <c r="E21" s="41"/>
      <c r="F21" s="37" t="s">
        <v>155</v>
      </c>
    </row>
    <row r="22" spans="1:6" ht="15">
      <c r="A22" s="20"/>
      <c r="B22" s="2" t="s">
        <v>18</v>
      </c>
      <c r="C22" s="37"/>
      <c r="D22" s="35"/>
      <c r="E22" s="41"/>
      <c r="F22" s="37" t="s">
        <v>122</v>
      </c>
    </row>
    <row r="23" spans="1:7" ht="15">
      <c r="A23" s="20"/>
      <c r="B23" s="2" t="s">
        <v>19</v>
      </c>
      <c r="C23" s="37"/>
      <c r="D23" s="35"/>
      <c r="E23" s="41"/>
      <c r="F23" s="37" t="s">
        <v>122</v>
      </c>
      <c r="G23" s="16"/>
    </row>
    <row r="24" spans="1:7" ht="15">
      <c r="A24" s="20"/>
      <c r="B24" s="2" t="s">
        <v>20</v>
      </c>
      <c r="C24" s="37"/>
      <c r="D24" s="35"/>
      <c r="E24" s="41">
        <f>133193.38-20000-2299-1724</f>
        <v>109170.38</v>
      </c>
      <c r="F24" s="37"/>
      <c r="G24" s="16"/>
    </row>
    <row r="25" spans="1:7" ht="15">
      <c r="A25" s="20"/>
      <c r="B25" s="2" t="s">
        <v>21</v>
      </c>
      <c r="C25" s="37"/>
      <c r="D25" s="35"/>
      <c r="E25" s="41">
        <f>106192.96-22138-2299</f>
        <v>81755.96</v>
      </c>
      <c r="F25" s="37"/>
      <c r="G25" s="16"/>
    </row>
    <row r="26" spans="1:7" ht="15">
      <c r="A26" s="20"/>
      <c r="B26" s="2" t="s">
        <v>22</v>
      </c>
      <c r="C26" s="37"/>
      <c r="D26" s="35"/>
      <c r="E26" s="41">
        <f>111823-11494-920-1034</f>
        <v>98375</v>
      </c>
      <c r="F26" s="37"/>
      <c r="G26" s="16"/>
    </row>
    <row r="27" spans="1:7" ht="15">
      <c r="A27" s="20"/>
      <c r="B27" s="2" t="s">
        <v>23</v>
      </c>
      <c r="C27" s="37"/>
      <c r="D27" s="35"/>
      <c r="E27" s="41">
        <f>143564.71+1266</f>
        <v>144830.71</v>
      </c>
      <c r="F27" s="37"/>
      <c r="G27" s="16"/>
    </row>
    <row r="28" spans="1:6" ht="15">
      <c r="A28" s="20"/>
      <c r="B28" s="2" t="s">
        <v>30</v>
      </c>
      <c r="C28" s="37"/>
      <c r="D28" s="35"/>
      <c r="E28" s="41"/>
      <c r="F28" s="37"/>
    </row>
    <row r="29" spans="1:8" ht="15">
      <c r="A29" s="17" t="s">
        <v>24</v>
      </c>
      <c r="B29" s="18" t="s">
        <v>25</v>
      </c>
      <c r="C29" s="39"/>
      <c r="D29" s="39">
        <v>120000</v>
      </c>
      <c r="E29" s="40">
        <f>SUM(E30:E41)</f>
        <v>20000</v>
      </c>
      <c r="F29" s="39">
        <f>D29-E29</f>
        <v>100000</v>
      </c>
      <c r="H29" s="9"/>
    </row>
    <row r="30" spans="1:6" ht="15">
      <c r="A30" s="20"/>
      <c r="B30" s="21" t="s">
        <v>13</v>
      </c>
      <c r="C30" s="59"/>
      <c r="D30" s="34"/>
      <c r="E30" s="42"/>
      <c r="F30" s="32"/>
    </row>
    <row r="31" spans="1:6" ht="15">
      <c r="A31" s="20"/>
      <c r="B31" s="2" t="s">
        <v>14</v>
      </c>
      <c r="C31" s="37"/>
      <c r="D31" s="35"/>
      <c r="E31" s="41"/>
      <c r="F31" s="37"/>
    </row>
    <row r="32" spans="1:8" ht="15">
      <c r="A32" s="20"/>
      <c r="B32" s="2" t="s">
        <v>15</v>
      </c>
      <c r="C32" s="37"/>
      <c r="D32" s="35"/>
      <c r="E32" s="36"/>
      <c r="F32" s="37"/>
      <c r="H32" s="9"/>
    </row>
    <row r="33" spans="1:8" ht="15">
      <c r="A33" s="20"/>
      <c r="B33" s="2" t="s">
        <v>16</v>
      </c>
      <c r="C33" s="37"/>
      <c r="D33" s="35"/>
      <c r="E33" s="36"/>
      <c r="F33" s="37"/>
      <c r="H33" s="9"/>
    </row>
    <row r="34" spans="1:8" ht="15">
      <c r="A34" s="20"/>
      <c r="B34" s="2" t="s">
        <v>17</v>
      </c>
      <c r="C34" s="37"/>
      <c r="D34" s="35"/>
      <c r="E34" s="41"/>
      <c r="F34" s="37" t="s">
        <v>121</v>
      </c>
      <c r="H34" s="9"/>
    </row>
    <row r="35" spans="1:8" ht="15">
      <c r="A35" s="20"/>
      <c r="B35" s="2" t="s">
        <v>18</v>
      </c>
      <c r="C35" s="37"/>
      <c r="D35" s="35"/>
      <c r="E35" s="36"/>
      <c r="F35" s="37"/>
      <c r="H35" s="9"/>
    </row>
    <row r="36" spans="1:8" ht="15">
      <c r="A36" s="20"/>
      <c r="B36" s="21" t="s">
        <v>19</v>
      </c>
      <c r="C36" s="59"/>
      <c r="D36" s="35"/>
      <c r="E36" s="36"/>
      <c r="F36" s="37"/>
      <c r="H36" s="9"/>
    </row>
    <row r="37" spans="1:9" ht="15">
      <c r="A37" s="20"/>
      <c r="B37" s="2" t="s">
        <v>20</v>
      </c>
      <c r="C37" s="37"/>
      <c r="D37" s="35"/>
      <c r="E37" s="36">
        <v>20000</v>
      </c>
      <c r="F37" s="37"/>
      <c r="I37" s="9"/>
    </row>
    <row r="38" spans="1:8" ht="15">
      <c r="A38" s="20"/>
      <c r="B38" s="2" t="s">
        <v>21</v>
      </c>
      <c r="C38" s="37"/>
      <c r="D38" s="35"/>
      <c r="E38" s="41"/>
      <c r="F38" s="37"/>
      <c r="H38" s="9"/>
    </row>
    <row r="39" spans="1:8" ht="15">
      <c r="A39" s="20"/>
      <c r="B39" s="2" t="s">
        <v>22</v>
      </c>
      <c r="C39" s="37"/>
      <c r="D39" s="35"/>
      <c r="E39" s="41"/>
      <c r="F39" s="37"/>
      <c r="H39" s="9"/>
    </row>
    <row r="40" spans="1:8" ht="15">
      <c r="A40" s="20"/>
      <c r="B40" s="2" t="s">
        <v>23</v>
      </c>
      <c r="C40" s="37"/>
      <c r="D40" s="35"/>
      <c r="E40" s="41"/>
      <c r="F40" s="37"/>
      <c r="H40" s="9"/>
    </row>
    <row r="41" spans="1:8" ht="15">
      <c r="A41" s="20"/>
      <c r="B41" s="2" t="s">
        <v>26</v>
      </c>
      <c r="C41" s="37"/>
      <c r="D41" s="35"/>
      <c r="E41" s="41"/>
      <c r="F41" s="37"/>
      <c r="H41" s="9"/>
    </row>
    <row r="42" spans="1:8" ht="26.25">
      <c r="A42" s="17" t="s">
        <v>27</v>
      </c>
      <c r="B42" s="22" t="s">
        <v>28</v>
      </c>
      <c r="C42" s="60"/>
      <c r="D42" s="39">
        <v>48000</v>
      </c>
      <c r="E42" s="40">
        <f>SUM(E43:E54)</f>
        <v>12414</v>
      </c>
      <c r="F42" s="39">
        <f>D42-E42</f>
        <v>35586</v>
      </c>
      <c r="H42" s="9"/>
    </row>
    <row r="43" spans="1:6" ht="15">
      <c r="A43" s="20"/>
      <c r="B43" s="21" t="s">
        <v>13</v>
      </c>
      <c r="C43" s="59"/>
      <c r="D43" s="35"/>
      <c r="E43" s="41"/>
      <c r="F43" s="13"/>
    </row>
    <row r="44" spans="1:6" ht="15">
      <c r="A44" s="20"/>
      <c r="B44" s="2" t="s">
        <v>14</v>
      </c>
      <c r="C44" s="37"/>
      <c r="D44" s="35"/>
      <c r="E44" s="41"/>
      <c r="F44" s="13" t="s">
        <v>157</v>
      </c>
    </row>
    <row r="45" spans="1:8" ht="15">
      <c r="A45" s="20"/>
      <c r="B45" s="2" t="s">
        <v>15</v>
      </c>
      <c r="C45" s="37"/>
      <c r="D45" s="35"/>
      <c r="E45" s="41"/>
      <c r="F45" s="13"/>
      <c r="H45" s="9"/>
    </row>
    <row r="46" spans="1:6" ht="15">
      <c r="A46" s="20"/>
      <c r="B46" s="2" t="s">
        <v>16</v>
      </c>
      <c r="C46" s="37"/>
      <c r="D46" s="35"/>
      <c r="E46" s="41"/>
      <c r="F46" s="27" t="s">
        <v>158</v>
      </c>
    </row>
    <row r="47" spans="1:6" ht="15">
      <c r="A47" s="20"/>
      <c r="B47" s="2" t="s">
        <v>17</v>
      </c>
      <c r="C47" s="37"/>
      <c r="D47" s="35"/>
      <c r="E47" s="41"/>
      <c r="F47" s="13" t="s">
        <v>160</v>
      </c>
    </row>
    <row r="48" spans="1:6" ht="15">
      <c r="A48" s="20"/>
      <c r="B48" s="2" t="s">
        <v>18</v>
      </c>
      <c r="C48" s="37"/>
      <c r="D48" s="35"/>
      <c r="E48" s="36"/>
      <c r="F48" s="13" t="s">
        <v>160</v>
      </c>
    </row>
    <row r="49" spans="1:6" ht="15">
      <c r="A49" s="20"/>
      <c r="B49" s="21" t="s">
        <v>19</v>
      </c>
      <c r="C49" s="59"/>
      <c r="D49" s="35"/>
      <c r="E49" s="43"/>
      <c r="F49" s="23"/>
    </row>
    <row r="50" spans="1:6" ht="15">
      <c r="A50" s="20"/>
      <c r="B50" s="2" t="s">
        <v>20</v>
      </c>
      <c r="C50" s="37"/>
      <c r="D50" s="35"/>
      <c r="E50" s="36"/>
      <c r="F50" s="13"/>
    </row>
    <row r="51" spans="1:6" ht="15">
      <c r="A51" s="20"/>
      <c r="B51" s="2" t="s">
        <v>21</v>
      </c>
      <c r="C51" s="37"/>
      <c r="D51" s="35"/>
      <c r="E51" s="41"/>
      <c r="F51" s="13"/>
    </row>
    <row r="52" spans="1:6" ht="15">
      <c r="A52" s="20"/>
      <c r="B52" s="2" t="s">
        <v>22</v>
      </c>
      <c r="C52" s="37"/>
      <c r="D52" s="35"/>
      <c r="E52" s="36">
        <v>12414</v>
      </c>
      <c r="F52" s="13"/>
    </row>
    <row r="53" spans="1:6" ht="15">
      <c r="A53" s="20"/>
      <c r="B53" s="2" t="s">
        <v>23</v>
      </c>
      <c r="C53" s="37"/>
      <c r="D53" s="35"/>
      <c r="E53" s="41"/>
      <c r="F53" s="13"/>
    </row>
    <row r="54" spans="1:6" ht="15">
      <c r="A54" s="20"/>
      <c r="B54" s="2" t="s">
        <v>26</v>
      </c>
      <c r="C54" s="37"/>
      <c r="D54" s="35"/>
      <c r="E54" s="41"/>
      <c r="F54" s="13"/>
    </row>
    <row r="55" spans="1:6" ht="15">
      <c r="A55" s="17" t="s">
        <v>29</v>
      </c>
      <c r="B55" s="18" t="s">
        <v>124</v>
      </c>
      <c r="C55" s="39"/>
      <c r="D55" s="39">
        <v>294120</v>
      </c>
      <c r="E55" s="40">
        <f>SUM(E56:E67)</f>
        <v>97973.51</v>
      </c>
      <c r="F55" s="39">
        <f>D55-E55</f>
        <v>196146.49</v>
      </c>
    </row>
    <row r="56" spans="1:6" ht="15">
      <c r="A56" s="20"/>
      <c r="B56" s="21" t="s">
        <v>13</v>
      </c>
      <c r="C56" s="59"/>
      <c r="D56" s="35"/>
      <c r="E56" s="41"/>
      <c r="F56" s="37"/>
    </row>
    <row r="57" spans="1:6" ht="15">
      <c r="A57" s="20"/>
      <c r="B57" s="2" t="s">
        <v>14</v>
      </c>
      <c r="C57" s="37"/>
      <c r="D57" s="35"/>
      <c r="E57" s="41"/>
      <c r="F57" s="37"/>
    </row>
    <row r="58" spans="1:6" ht="15">
      <c r="A58" s="20"/>
      <c r="B58" s="2" t="s">
        <v>15</v>
      </c>
      <c r="C58" s="37"/>
      <c r="D58" s="35"/>
      <c r="E58" s="35"/>
      <c r="F58" s="37"/>
    </row>
    <row r="59" spans="1:6" ht="15">
      <c r="A59" s="20"/>
      <c r="B59" s="2" t="s">
        <v>16</v>
      </c>
      <c r="C59" s="37"/>
      <c r="D59" s="35"/>
      <c r="E59" s="35"/>
      <c r="F59" s="37"/>
    </row>
    <row r="60" spans="1:6" ht="15">
      <c r="A60" s="20"/>
      <c r="B60" s="2" t="s">
        <v>17</v>
      </c>
      <c r="C60" s="37"/>
      <c r="D60" s="35"/>
      <c r="E60" s="41"/>
      <c r="F60" s="37"/>
    </row>
    <row r="61" spans="1:6" ht="15">
      <c r="A61" s="20"/>
      <c r="B61" s="2" t="s">
        <v>18</v>
      </c>
      <c r="C61" s="37"/>
      <c r="D61" s="35"/>
      <c r="E61" s="35"/>
      <c r="F61" s="37"/>
    </row>
    <row r="62" spans="1:6" ht="15">
      <c r="A62" s="20"/>
      <c r="B62" s="21" t="s">
        <v>19</v>
      </c>
      <c r="C62" s="59"/>
      <c r="D62" s="35"/>
      <c r="E62" s="41"/>
      <c r="F62" s="37"/>
    </row>
    <row r="63" spans="1:6" ht="15">
      <c r="A63" s="20"/>
      <c r="B63" s="2" t="s">
        <v>20</v>
      </c>
      <c r="C63" s="37"/>
      <c r="D63" s="44"/>
      <c r="E63" s="35">
        <v>26897</v>
      </c>
      <c r="F63" s="37"/>
    </row>
    <row r="64" spans="1:6" ht="15">
      <c r="A64" s="20"/>
      <c r="B64" s="2" t="s">
        <v>21</v>
      </c>
      <c r="C64" s="37"/>
      <c r="D64" s="35"/>
      <c r="E64" s="35">
        <v>21402.1</v>
      </c>
      <c r="F64" s="37"/>
    </row>
    <row r="65" spans="1:6" ht="15">
      <c r="A65" s="20"/>
      <c r="B65" s="2" t="s">
        <v>22</v>
      </c>
      <c r="C65" s="37"/>
      <c r="D65" s="35"/>
      <c r="E65" s="35">
        <f>26994.25-4432.9</f>
        <v>22561.35</v>
      </c>
      <c r="F65" s="37"/>
    </row>
    <row r="66" spans="1:6" ht="15">
      <c r="A66" s="20"/>
      <c r="B66" s="2" t="s">
        <v>23</v>
      </c>
      <c r="C66" s="37"/>
      <c r="D66" s="35"/>
      <c r="E66" s="35">
        <f>32020.91-4907.85</f>
        <v>27113.059999999998</v>
      </c>
      <c r="F66" s="37"/>
    </row>
    <row r="67" spans="1:6" ht="15">
      <c r="A67" s="20"/>
      <c r="B67" s="2" t="s">
        <v>30</v>
      </c>
      <c r="C67" s="37"/>
      <c r="D67" s="35"/>
      <c r="E67" s="35"/>
      <c r="F67" s="37"/>
    </row>
    <row r="68" spans="1:6" ht="15">
      <c r="A68" s="17"/>
      <c r="B68" s="18" t="s">
        <v>31</v>
      </c>
      <c r="C68" s="39"/>
      <c r="D68" s="39">
        <v>70800</v>
      </c>
      <c r="E68" s="40">
        <f>SUM(E69:E70)</f>
        <v>0</v>
      </c>
      <c r="F68" s="39">
        <f>D68-E68</f>
        <v>70800</v>
      </c>
    </row>
    <row r="69" spans="1:6" ht="15">
      <c r="A69" s="20"/>
      <c r="B69" s="2" t="s">
        <v>32</v>
      </c>
      <c r="C69" s="37"/>
      <c r="D69" s="35"/>
      <c r="E69" s="36"/>
      <c r="F69" s="37" t="s">
        <v>159</v>
      </c>
    </row>
    <row r="70" spans="1:6" ht="15">
      <c r="A70" s="20"/>
      <c r="B70" s="2" t="s">
        <v>133</v>
      </c>
      <c r="C70" s="37"/>
      <c r="D70" s="35"/>
      <c r="E70" s="36"/>
      <c r="F70" s="37"/>
    </row>
    <row r="71" spans="1:6" ht="15">
      <c r="A71" s="17" t="s">
        <v>33</v>
      </c>
      <c r="B71" s="18" t="s">
        <v>34</v>
      </c>
      <c r="C71" s="39"/>
      <c r="D71" s="39">
        <v>24000</v>
      </c>
      <c r="E71" s="40">
        <f>SUM(E72:E83)</f>
        <v>6429.35</v>
      </c>
      <c r="F71" s="39">
        <f>D71-E71</f>
        <v>17570.65</v>
      </c>
    </row>
    <row r="72" spans="1:6" ht="15">
      <c r="A72" s="20"/>
      <c r="B72" s="21" t="s">
        <v>13</v>
      </c>
      <c r="C72" s="59"/>
      <c r="D72" s="35"/>
      <c r="E72" s="41"/>
      <c r="F72" s="37"/>
    </row>
    <row r="73" spans="1:6" ht="15">
      <c r="A73" s="20"/>
      <c r="B73" s="2" t="s">
        <v>14</v>
      </c>
      <c r="C73" s="37"/>
      <c r="D73" s="35"/>
      <c r="E73" s="41"/>
      <c r="F73" s="37"/>
    </row>
    <row r="74" spans="1:6" ht="15">
      <c r="A74" s="20"/>
      <c r="B74" s="2" t="s">
        <v>15</v>
      </c>
      <c r="C74" s="37"/>
      <c r="D74" s="35"/>
      <c r="E74" s="45"/>
      <c r="F74" s="37"/>
    </row>
    <row r="75" spans="1:6" ht="15">
      <c r="A75" s="20"/>
      <c r="B75" s="2" t="s">
        <v>16</v>
      </c>
      <c r="C75" s="37"/>
      <c r="D75" s="35"/>
      <c r="E75" s="45"/>
      <c r="F75" s="37"/>
    </row>
    <row r="76" spans="1:6" ht="15">
      <c r="A76" s="20"/>
      <c r="B76" s="2" t="s">
        <v>17</v>
      </c>
      <c r="C76" s="37"/>
      <c r="D76" s="35"/>
      <c r="E76" s="35"/>
      <c r="F76" s="37"/>
    </row>
    <row r="77" spans="1:6" ht="15">
      <c r="A77" s="20"/>
      <c r="B77" s="2" t="s">
        <v>18</v>
      </c>
      <c r="C77" s="37"/>
      <c r="D77" s="35"/>
      <c r="E77" s="35"/>
      <c r="F77" s="37"/>
    </row>
    <row r="78" spans="1:6" ht="15">
      <c r="A78" s="20"/>
      <c r="B78" s="21" t="s">
        <v>19</v>
      </c>
      <c r="C78" s="59"/>
      <c r="D78" s="35"/>
      <c r="E78" s="35"/>
      <c r="F78" s="37"/>
    </row>
    <row r="79" spans="1:6" ht="15">
      <c r="A79" s="20"/>
      <c r="B79" s="2" t="s">
        <v>20</v>
      </c>
      <c r="C79" s="37"/>
      <c r="D79" s="35"/>
      <c r="E79" s="35">
        <f>68.27+120+30+100+274.46+500</f>
        <v>1092.73</v>
      </c>
      <c r="F79" s="37"/>
    </row>
    <row r="80" spans="1:6" ht="15">
      <c r="A80" s="20"/>
      <c r="B80" s="2" t="s">
        <v>21</v>
      </c>
      <c r="C80" s="37"/>
      <c r="D80" s="44"/>
      <c r="E80" s="35">
        <f>90+30+37.8+100+234.45+500</f>
        <v>992.25</v>
      </c>
      <c r="F80" s="37"/>
    </row>
    <row r="81" spans="1:6" ht="15">
      <c r="A81" s="20"/>
      <c r="B81" s="2" t="s">
        <v>22</v>
      </c>
      <c r="C81" s="37"/>
      <c r="D81" s="35"/>
      <c r="E81" s="35">
        <f>100+90+30+2000+200+292.95+500</f>
        <v>3212.95</v>
      </c>
      <c r="F81" s="37"/>
    </row>
    <row r="82" spans="1:6" ht="15">
      <c r="A82" s="20"/>
      <c r="B82" s="2" t="s">
        <v>23</v>
      </c>
      <c r="C82" s="37"/>
      <c r="D82" s="35"/>
      <c r="E82" s="35">
        <f>30+29.64+30+90+100+321.78+500+30</f>
        <v>1131.42</v>
      </c>
      <c r="F82" s="37"/>
    </row>
    <row r="83" spans="1:6" ht="15">
      <c r="A83" s="20"/>
      <c r="B83" s="2" t="s">
        <v>30</v>
      </c>
      <c r="C83" s="37"/>
      <c r="D83" s="35"/>
      <c r="E83" s="35"/>
      <c r="F83" s="37"/>
    </row>
    <row r="84" spans="1:6" ht="15">
      <c r="A84" s="17" t="s">
        <v>35</v>
      </c>
      <c r="B84" s="18" t="s">
        <v>36</v>
      </c>
      <c r="C84" s="39"/>
      <c r="D84" s="39">
        <v>9600</v>
      </c>
      <c r="E84" s="39">
        <f>SUM(E85:E114)</f>
        <v>2361.5</v>
      </c>
      <c r="F84" s="39">
        <f>D84-E84</f>
        <v>7238.5</v>
      </c>
    </row>
    <row r="85" spans="1:6" ht="15">
      <c r="A85" s="20"/>
      <c r="B85" s="21" t="s">
        <v>37</v>
      </c>
      <c r="C85" s="59"/>
      <c r="D85" s="35"/>
      <c r="E85" s="35"/>
      <c r="F85" s="37"/>
    </row>
    <row r="86" spans="1:6" ht="15">
      <c r="A86" s="20"/>
      <c r="B86" s="21" t="s">
        <v>117</v>
      </c>
      <c r="C86" s="59"/>
      <c r="D86" s="35"/>
      <c r="E86" s="35"/>
      <c r="F86" s="37"/>
    </row>
    <row r="87" spans="1:6" ht="15">
      <c r="A87" s="20"/>
      <c r="B87" s="2" t="s">
        <v>38</v>
      </c>
      <c r="C87" s="37"/>
      <c r="D87" s="35"/>
      <c r="E87" s="45"/>
      <c r="F87" s="37"/>
    </row>
    <row r="88" spans="1:6" ht="15">
      <c r="A88" s="20"/>
      <c r="B88" s="2" t="s">
        <v>39</v>
      </c>
      <c r="C88" s="37"/>
      <c r="D88" s="35"/>
      <c r="E88" s="45"/>
      <c r="F88" s="37"/>
    </row>
    <row r="89" spans="1:6" ht="15">
      <c r="A89" s="20"/>
      <c r="B89" s="2" t="s">
        <v>40</v>
      </c>
      <c r="C89" s="37"/>
      <c r="D89" s="35"/>
      <c r="E89" s="35"/>
      <c r="F89" s="37"/>
    </row>
    <row r="90" spans="1:6" ht="15">
      <c r="A90" s="20"/>
      <c r="B90" s="2" t="s">
        <v>41</v>
      </c>
      <c r="C90" s="37"/>
      <c r="D90" s="35"/>
      <c r="E90" s="45"/>
      <c r="F90" s="37"/>
    </row>
    <row r="91" spans="1:8" ht="15">
      <c r="A91" s="20"/>
      <c r="B91" s="2" t="s">
        <v>42</v>
      </c>
      <c r="C91" s="37"/>
      <c r="D91" s="63"/>
      <c r="E91" s="35"/>
      <c r="F91" s="37"/>
      <c r="H91" s="9"/>
    </row>
    <row r="92" spans="1:8" ht="15">
      <c r="A92" s="20"/>
      <c r="B92" s="2" t="s">
        <v>148</v>
      </c>
      <c r="C92" s="37"/>
      <c r="D92" s="44"/>
      <c r="E92" s="35"/>
      <c r="F92" s="37"/>
      <c r="H92" s="9"/>
    </row>
    <row r="93" spans="1:6" ht="15">
      <c r="A93" s="20"/>
      <c r="B93" s="2" t="s">
        <v>43</v>
      </c>
      <c r="C93" s="37"/>
      <c r="D93" s="35"/>
      <c r="E93" s="45"/>
      <c r="F93" s="37"/>
    </row>
    <row r="94" spans="1:6" ht="15">
      <c r="A94" s="20"/>
      <c r="B94" s="2" t="s">
        <v>44</v>
      </c>
      <c r="C94" s="37"/>
      <c r="D94" s="35"/>
      <c r="E94" s="45"/>
      <c r="F94" s="37"/>
    </row>
    <row r="95" spans="1:6" ht="15">
      <c r="A95" s="20"/>
      <c r="B95" s="2" t="s">
        <v>45</v>
      </c>
      <c r="C95" s="37"/>
      <c r="D95" s="44"/>
      <c r="E95" s="35"/>
      <c r="F95" s="37"/>
    </row>
    <row r="96" spans="1:6" ht="15">
      <c r="A96" s="20"/>
      <c r="B96" s="2" t="s">
        <v>46</v>
      </c>
      <c r="C96" s="37"/>
      <c r="D96" s="35"/>
      <c r="E96" s="45"/>
      <c r="F96" s="37"/>
    </row>
    <row r="97" spans="1:6" ht="15">
      <c r="A97" s="20"/>
      <c r="B97" s="21" t="s">
        <v>126</v>
      </c>
      <c r="C97" s="59"/>
      <c r="D97" s="35"/>
      <c r="E97" s="35">
        <f>7.84+445.54</f>
        <v>453.38</v>
      </c>
      <c r="F97" s="37"/>
    </row>
    <row r="98" spans="1:6" ht="15">
      <c r="A98" s="20"/>
      <c r="B98" s="21" t="s">
        <v>47</v>
      </c>
      <c r="C98" s="59"/>
      <c r="D98" s="35"/>
      <c r="E98" s="45"/>
      <c r="F98" s="37"/>
    </row>
    <row r="99" spans="1:6" ht="15">
      <c r="A99" s="20"/>
      <c r="B99" s="2" t="s">
        <v>48</v>
      </c>
      <c r="C99" s="37"/>
      <c r="D99" s="44"/>
      <c r="E99" s="45">
        <v>479.62</v>
      </c>
      <c r="F99" s="37"/>
    </row>
    <row r="100" spans="1:6" ht="15">
      <c r="A100" s="20"/>
      <c r="B100" s="2" t="s">
        <v>49</v>
      </c>
      <c r="C100" s="37"/>
      <c r="D100" s="35"/>
      <c r="E100" s="98"/>
      <c r="F100" s="37"/>
    </row>
    <row r="101" spans="1:6" ht="15">
      <c r="A101" s="20"/>
      <c r="B101" s="2" t="s">
        <v>21</v>
      </c>
      <c r="C101" s="37"/>
      <c r="D101" s="35"/>
      <c r="E101" s="97"/>
      <c r="F101" s="37"/>
    </row>
    <row r="102" spans="1:6" ht="15">
      <c r="A102" s="20"/>
      <c r="B102" s="2" t="s">
        <v>50</v>
      </c>
      <c r="C102" s="37"/>
      <c r="D102" s="35"/>
      <c r="E102" s="96">
        <v>428.5</v>
      </c>
      <c r="F102" s="37"/>
    </row>
    <row r="103" spans="1:6" ht="15">
      <c r="A103" s="20"/>
      <c r="B103" s="2" t="s">
        <v>51</v>
      </c>
      <c r="C103" s="37"/>
      <c r="D103" s="35"/>
      <c r="E103" s="45"/>
      <c r="F103" s="37"/>
    </row>
    <row r="104" spans="1:7" ht="15">
      <c r="A104" s="20"/>
      <c r="B104" s="2" t="s">
        <v>52</v>
      </c>
      <c r="C104" s="37"/>
      <c r="D104" s="35"/>
      <c r="E104" s="35">
        <v>1000</v>
      </c>
      <c r="F104" s="37"/>
      <c r="G104" s="16"/>
    </row>
    <row r="105" spans="1:6" ht="15">
      <c r="A105" s="20"/>
      <c r="B105" s="2" t="s">
        <v>53</v>
      </c>
      <c r="C105" s="37"/>
      <c r="D105" s="44"/>
      <c r="E105" s="45"/>
      <c r="F105" s="37"/>
    </row>
    <row r="106" spans="1:6" ht="15">
      <c r="A106" s="20"/>
      <c r="B106" s="2" t="s">
        <v>54</v>
      </c>
      <c r="C106" s="37"/>
      <c r="D106" s="35"/>
      <c r="E106" s="45"/>
      <c r="F106" s="37"/>
    </row>
    <row r="107" spans="1:6" ht="15">
      <c r="A107" s="20"/>
      <c r="B107" s="58" t="s">
        <v>118</v>
      </c>
      <c r="C107" s="37"/>
      <c r="D107" s="35"/>
      <c r="E107" s="45"/>
      <c r="F107" s="37"/>
    </row>
    <row r="108" spans="1:6" ht="15">
      <c r="A108" s="20"/>
      <c r="B108" s="21" t="s">
        <v>13</v>
      </c>
      <c r="C108" s="37"/>
      <c r="D108" s="35"/>
      <c r="E108" s="35"/>
      <c r="F108" s="37"/>
    </row>
    <row r="109" spans="1:6" ht="15">
      <c r="A109" s="20"/>
      <c r="B109" s="21" t="s">
        <v>14</v>
      </c>
      <c r="C109" s="37"/>
      <c r="D109" s="35"/>
      <c r="E109" s="35"/>
      <c r="F109" s="37"/>
    </row>
    <row r="110" spans="1:6" ht="15">
      <c r="A110" s="20"/>
      <c r="B110" s="21" t="s">
        <v>15</v>
      </c>
      <c r="C110" s="37"/>
      <c r="D110" s="35"/>
      <c r="E110" s="35"/>
      <c r="F110" s="37"/>
    </row>
    <row r="111" spans="1:6" ht="15">
      <c r="A111" s="20"/>
      <c r="B111" s="21" t="s">
        <v>16</v>
      </c>
      <c r="C111" s="37"/>
      <c r="D111" s="35"/>
      <c r="E111" s="35"/>
      <c r="F111" s="37"/>
    </row>
    <row r="112" spans="1:6" ht="15">
      <c r="A112" s="20"/>
      <c r="B112" s="21" t="s">
        <v>17</v>
      </c>
      <c r="C112" s="37"/>
      <c r="D112" s="35"/>
      <c r="E112" s="35"/>
      <c r="F112" s="37"/>
    </row>
    <row r="113" spans="1:6" ht="15">
      <c r="A113" s="20"/>
      <c r="B113" s="21" t="s">
        <v>18</v>
      </c>
      <c r="C113" s="37"/>
      <c r="D113" s="35"/>
      <c r="E113" s="35"/>
      <c r="F113" s="37"/>
    </row>
    <row r="114" spans="1:6" ht="15">
      <c r="A114" s="20"/>
      <c r="B114" s="21" t="s">
        <v>19</v>
      </c>
      <c r="C114" s="37"/>
      <c r="D114" s="35"/>
      <c r="E114" s="35"/>
      <c r="F114" s="37"/>
    </row>
    <row r="115" spans="1:6" ht="15">
      <c r="A115" s="17" t="s">
        <v>55</v>
      </c>
      <c r="B115" s="18" t="s">
        <v>56</v>
      </c>
      <c r="C115" s="39"/>
      <c r="D115" s="39">
        <v>96000</v>
      </c>
      <c r="E115" s="39">
        <f>SUM(E116:E126)</f>
        <v>48081.08</v>
      </c>
      <c r="F115" s="39">
        <f>D115-E115</f>
        <v>47918.92</v>
      </c>
    </row>
    <row r="116" spans="1:6" ht="15">
      <c r="A116" s="20"/>
      <c r="B116" s="21" t="s">
        <v>13</v>
      </c>
      <c r="C116" s="59"/>
      <c r="D116" s="35"/>
      <c r="E116" s="45"/>
      <c r="F116" s="37"/>
    </row>
    <row r="117" spans="1:6" ht="15">
      <c r="A117" s="20"/>
      <c r="B117" s="2" t="s">
        <v>14</v>
      </c>
      <c r="C117" s="37"/>
      <c r="D117" s="35"/>
      <c r="E117" s="45"/>
      <c r="F117" s="37"/>
    </row>
    <row r="118" spans="1:6" ht="15">
      <c r="A118" s="20"/>
      <c r="B118" s="2" t="s">
        <v>15</v>
      </c>
      <c r="C118" s="37"/>
      <c r="D118" s="35"/>
      <c r="E118" s="45"/>
      <c r="F118" s="37"/>
    </row>
    <row r="119" spans="1:7" ht="15">
      <c r="A119" s="20"/>
      <c r="B119" s="2" t="s">
        <v>16</v>
      </c>
      <c r="C119" s="37"/>
      <c r="D119" s="35"/>
      <c r="E119" s="45"/>
      <c r="F119" s="37"/>
      <c r="G119" s="16"/>
    </row>
    <row r="120" spans="1:7" ht="15">
      <c r="A120" s="20"/>
      <c r="B120" s="2" t="s">
        <v>17</v>
      </c>
      <c r="C120" s="37"/>
      <c r="D120" s="63"/>
      <c r="E120" s="45"/>
      <c r="F120" s="37"/>
      <c r="G120" s="16"/>
    </row>
    <row r="121" spans="1:7" ht="15">
      <c r="A121" s="20"/>
      <c r="B121" s="2" t="s">
        <v>18</v>
      </c>
      <c r="C121" s="37"/>
      <c r="D121" s="44"/>
      <c r="E121" s="45"/>
      <c r="F121" s="37"/>
      <c r="G121" s="16"/>
    </row>
    <row r="122" spans="1:7" ht="15">
      <c r="A122" s="20"/>
      <c r="B122" s="21" t="s">
        <v>19</v>
      </c>
      <c r="C122" s="59"/>
      <c r="D122" s="35"/>
      <c r="E122" s="45"/>
      <c r="F122" s="37"/>
      <c r="G122" s="16"/>
    </row>
    <row r="123" spans="1:7" ht="15">
      <c r="A123" s="20"/>
      <c r="B123" s="2" t="s">
        <v>20</v>
      </c>
      <c r="C123" s="37"/>
      <c r="D123" s="35"/>
      <c r="E123" s="45">
        <f>7805.18+15610.36</f>
        <v>23415.54</v>
      </c>
      <c r="F123" s="37"/>
      <c r="G123" s="16"/>
    </row>
    <row r="124" spans="1:6" ht="15">
      <c r="A124" s="20"/>
      <c r="B124" s="2" t="s">
        <v>21</v>
      </c>
      <c r="C124" s="37"/>
      <c r="D124" s="35"/>
      <c r="E124" s="45">
        <v>7805.18</v>
      </c>
      <c r="F124" s="37"/>
    </row>
    <row r="125" spans="1:6" ht="15">
      <c r="A125" s="20"/>
      <c r="B125" s="2" t="s">
        <v>22</v>
      </c>
      <c r="C125" s="37"/>
      <c r="D125" s="35"/>
      <c r="E125" s="35">
        <v>7805.18</v>
      </c>
      <c r="F125" s="37"/>
    </row>
    <row r="126" spans="1:6" ht="15">
      <c r="A126" s="20"/>
      <c r="B126" s="2" t="s">
        <v>23</v>
      </c>
      <c r="C126" s="37"/>
      <c r="D126" s="35"/>
      <c r="E126" s="45">
        <f>1250+7805.18</f>
        <v>9055.18</v>
      </c>
      <c r="F126" s="37"/>
    </row>
    <row r="127" spans="1:6" ht="15">
      <c r="A127" s="25" t="s">
        <v>57</v>
      </c>
      <c r="B127" s="18" t="s">
        <v>58</v>
      </c>
      <c r="C127" s="39"/>
      <c r="D127" s="39">
        <v>42000</v>
      </c>
      <c r="E127" s="39">
        <f>SUM(E128:E139)</f>
        <v>5853.42</v>
      </c>
      <c r="F127" s="39">
        <f>D127-E127</f>
        <v>36146.58</v>
      </c>
    </row>
    <row r="128" spans="1:6" ht="15">
      <c r="A128" s="20"/>
      <c r="B128" s="21" t="s">
        <v>13</v>
      </c>
      <c r="C128" s="59"/>
      <c r="D128" s="11"/>
      <c r="E128" s="11"/>
      <c r="F128" s="13" t="s">
        <v>134</v>
      </c>
    </row>
    <row r="129" spans="1:6" ht="15">
      <c r="A129" s="20"/>
      <c r="B129" s="2" t="s">
        <v>14</v>
      </c>
      <c r="C129" s="37"/>
      <c r="D129" s="26"/>
      <c r="E129" s="26"/>
      <c r="F129" s="27" t="s">
        <v>141</v>
      </c>
    </row>
    <row r="130" spans="1:7" ht="15">
      <c r="A130" s="20"/>
      <c r="B130" s="2" t="s">
        <v>15</v>
      </c>
      <c r="C130" s="37"/>
      <c r="D130" s="26"/>
      <c r="E130" s="26"/>
      <c r="F130" s="27" t="s">
        <v>143</v>
      </c>
      <c r="G130" s="16"/>
    </row>
    <row r="131" spans="1:7" ht="15">
      <c r="A131" s="20"/>
      <c r="B131" s="2" t="s">
        <v>16</v>
      </c>
      <c r="C131" s="37"/>
      <c r="D131" s="11"/>
      <c r="E131" s="11"/>
      <c r="F131" s="27" t="s">
        <v>150</v>
      </c>
      <c r="G131" s="16"/>
    </row>
    <row r="132" spans="1:8" ht="30">
      <c r="A132" s="20"/>
      <c r="B132" s="2" t="s">
        <v>17</v>
      </c>
      <c r="C132" s="37"/>
      <c r="D132" s="26"/>
      <c r="E132" s="26"/>
      <c r="F132" s="27" t="s">
        <v>170</v>
      </c>
      <c r="G132" s="16"/>
      <c r="H132" s="16"/>
    </row>
    <row r="133" spans="1:7" ht="15">
      <c r="A133" s="20"/>
      <c r="B133" s="2" t="s">
        <v>18</v>
      </c>
      <c r="C133" s="37"/>
      <c r="D133" s="11"/>
      <c r="E133" s="11"/>
      <c r="F133" s="13" t="s">
        <v>169</v>
      </c>
      <c r="G133" s="16"/>
    </row>
    <row r="134" spans="1:7" ht="15">
      <c r="A134" s="20"/>
      <c r="B134" s="21" t="s">
        <v>19</v>
      </c>
      <c r="C134" s="59"/>
      <c r="D134" s="11"/>
      <c r="E134" s="11"/>
      <c r="F134" s="27" t="s">
        <v>172</v>
      </c>
      <c r="G134" s="16"/>
    </row>
    <row r="135" spans="1:7" ht="15">
      <c r="A135" s="20"/>
      <c r="B135" s="2" t="s">
        <v>20</v>
      </c>
      <c r="C135" s="37"/>
      <c r="D135" s="11"/>
      <c r="E135" s="11"/>
      <c r="F135" s="13"/>
      <c r="G135" s="16"/>
    </row>
    <row r="136" spans="1:6" ht="15">
      <c r="A136" s="20"/>
      <c r="B136" s="2" t="s">
        <v>21</v>
      </c>
      <c r="C136" s="37"/>
      <c r="D136" s="11"/>
      <c r="E136" s="11">
        <v>5853.42</v>
      </c>
      <c r="F136" s="13"/>
    </row>
    <row r="137" spans="1:7" ht="15">
      <c r="A137" s="20"/>
      <c r="B137" s="2" t="s">
        <v>22</v>
      </c>
      <c r="C137" s="37"/>
      <c r="D137" s="11"/>
      <c r="E137" s="11"/>
      <c r="F137" s="13"/>
      <c r="G137" s="16"/>
    </row>
    <row r="138" spans="1:6" ht="15">
      <c r="A138" s="20"/>
      <c r="B138" s="2" t="s">
        <v>23</v>
      </c>
      <c r="C138" s="37"/>
      <c r="D138" s="11"/>
      <c r="E138" s="11"/>
      <c r="F138" s="13"/>
    </row>
    <row r="139" spans="1:6" ht="15">
      <c r="A139" s="20"/>
      <c r="B139" s="2" t="s">
        <v>30</v>
      </c>
      <c r="C139" s="37"/>
      <c r="D139" s="11"/>
      <c r="E139" s="11"/>
      <c r="F139" s="13"/>
    </row>
    <row r="140" spans="1:6" ht="15">
      <c r="A140" s="25" t="s">
        <v>59</v>
      </c>
      <c r="B140" s="18" t="s">
        <v>60</v>
      </c>
      <c r="C140" s="39"/>
      <c r="D140" s="19">
        <v>24000</v>
      </c>
      <c r="E140" s="19">
        <f>SUM(E141:E152)</f>
        <v>2750</v>
      </c>
      <c r="F140" s="19">
        <f>D140-E140</f>
        <v>21250</v>
      </c>
    </row>
    <row r="141" spans="1:6" ht="15">
      <c r="A141" s="20"/>
      <c r="B141" s="21" t="s">
        <v>13</v>
      </c>
      <c r="C141" s="59"/>
      <c r="D141" s="11"/>
      <c r="E141" s="11"/>
      <c r="F141" s="13" t="s">
        <v>135</v>
      </c>
    </row>
    <row r="142" spans="1:6" ht="15">
      <c r="A142" s="20"/>
      <c r="B142" s="2" t="s">
        <v>14</v>
      </c>
      <c r="C142" s="37"/>
      <c r="D142" s="11"/>
      <c r="E142" s="11"/>
      <c r="F142" s="13" t="s">
        <v>136</v>
      </c>
    </row>
    <row r="143" spans="1:6" ht="15">
      <c r="A143" s="20"/>
      <c r="B143" s="2" t="s">
        <v>15</v>
      </c>
      <c r="C143" s="37"/>
      <c r="D143" s="26"/>
      <c r="E143" s="26"/>
      <c r="F143" s="27" t="s">
        <v>144</v>
      </c>
    </row>
    <row r="144" spans="1:6" ht="15">
      <c r="A144" s="20"/>
      <c r="B144" s="2" t="s">
        <v>16</v>
      </c>
      <c r="C144" s="37"/>
      <c r="D144" s="11"/>
      <c r="E144" s="11"/>
      <c r="F144" s="13" t="s">
        <v>147</v>
      </c>
    </row>
    <row r="145" spans="1:6" ht="15">
      <c r="A145" s="20"/>
      <c r="B145" s="2" t="s">
        <v>17</v>
      </c>
      <c r="C145" s="37"/>
      <c r="D145" s="11"/>
      <c r="E145" s="11"/>
      <c r="F145" s="13" t="s">
        <v>151</v>
      </c>
    </row>
    <row r="146" spans="1:7" ht="15">
      <c r="A146" s="20"/>
      <c r="B146" s="2" t="s">
        <v>18</v>
      </c>
      <c r="C146" s="37"/>
      <c r="D146" s="11"/>
      <c r="E146" s="11"/>
      <c r="F146" s="27" t="s">
        <v>61</v>
      </c>
      <c r="G146" s="16"/>
    </row>
    <row r="147" spans="1:7" ht="15">
      <c r="A147" s="20"/>
      <c r="B147" s="21" t="s">
        <v>19</v>
      </c>
      <c r="C147" s="59"/>
      <c r="D147" s="11"/>
      <c r="E147" s="11"/>
      <c r="F147" s="27" t="s">
        <v>171</v>
      </c>
      <c r="G147" s="16"/>
    </row>
    <row r="148" spans="1:6" ht="15">
      <c r="A148" s="20"/>
      <c r="B148" s="2" t="s">
        <v>20</v>
      </c>
      <c r="C148" s="37"/>
      <c r="D148" s="11"/>
      <c r="E148" s="11"/>
      <c r="F148" s="13"/>
    </row>
    <row r="149" spans="1:7" ht="15">
      <c r="A149" s="20"/>
      <c r="B149" s="2" t="s">
        <v>21</v>
      </c>
      <c r="C149" s="37"/>
      <c r="D149" s="11"/>
      <c r="E149" s="11"/>
      <c r="F149" s="13"/>
      <c r="G149" s="16"/>
    </row>
    <row r="150" spans="1:6" ht="15">
      <c r="A150" s="20"/>
      <c r="B150" s="2" t="s">
        <v>22</v>
      </c>
      <c r="C150" s="37"/>
      <c r="D150" s="11"/>
      <c r="E150" s="11">
        <v>2750</v>
      </c>
      <c r="F150" s="13"/>
    </row>
    <row r="151" spans="1:7" ht="15">
      <c r="A151" s="20"/>
      <c r="B151" s="2" t="s">
        <v>23</v>
      </c>
      <c r="C151" s="37"/>
      <c r="D151" s="11"/>
      <c r="E151" s="11"/>
      <c r="F151" s="27"/>
      <c r="G151" s="16"/>
    </row>
    <row r="152" spans="1:7" ht="15">
      <c r="A152" s="20"/>
      <c r="B152" s="2" t="s">
        <v>30</v>
      </c>
      <c r="C152" s="37"/>
      <c r="D152" s="11"/>
      <c r="E152" s="11"/>
      <c r="F152" s="27"/>
      <c r="G152" s="16"/>
    </row>
    <row r="153" spans="1:6" ht="15">
      <c r="A153" s="25" t="s">
        <v>62</v>
      </c>
      <c r="B153" s="18" t="s">
        <v>63</v>
      </c>
      <c r="C153" s="39"/>
      <c r="D153" s="19">
        <v>9000</v>
      </c>
      <c r="E153" s="19">
        <f>2299+2299</f>
        <v>4598</v>
      </c>
      <c r="F153" s="19">
        <f>D153-E153</f>
        <v>4402</v>
      </c>
    </row>
    <row r="154" spans="1:6" ht="15">
      <c r="A154" s="25" t="s">
        <v>64</v>
      </c>
      <c r="B154" s="18" t="s">
        <v>65</v>
      </c>
      <c r="C154" s="39"/>
      <c r="D154" s="19">
        <v>12000</v>
      </c>
      <c r="E154" s="19"/>
      <c r="F154" s="19">
        <f>D154-E154</f>
        <v>12000</v>
      </c>
    </row>
    <row r="155" spans="1:6" ht="15">
      <c r="A155" s="25" t="s">
        <v>66</v>
      </c>
      <c r="B155" s="18" t="s">
        <v>67</v>
      </c>
      <c r="C155" s="39"/>
      <c r="D155" s="19">
        <v>12000</v>
      </c>
      <c r="E155" s="19">
        <f>SUM(E156:E166)</f>
        <v>0</v>
      </c>
      <c r="F155" s="19">
        <f>D155-E155</f>
        <v>12000</v>
      </c>
    </row>
    <row r="156" spans="1:7" ht="15">
      <c r="A156" s="20"/>
      <c r="B156" s="21" t="s">
        <v>13</v>
      </c>
      <c r="C156" s="59"/>
      <c r="D156" s="11"/>
      <c r="E156" s="24"/>
      <c r="F156" s="13"/>
      <c r="G156" s="16"/>
    </row>
    <row r="157" spans="1:7" ht="15">
      <c r="A157" s="20"/>
      <c r="B157" s="2" t="s">
        <v>14</v>
      </c>
      <c r="C157" s="37"/>
      <c r="D157" s="11"/>
      <c r="E157" s="24"/>
      <c r="F157" s="13"/>
      <c r="G157" s="16"/>
    </row>
    <row r="158" spans="1:7" ht="15">
      <c r="A158" s="20"/>
      <c r="B158" s="2" t="s">
        <v>15</v>
      </c>
      <c r="C158" s="37"/>
      <c r="D158" s="11"/>
      <c r="E158" s="24"/>
      <c r="F158" s="13"/>
      <c r="G158" s="16"/>
    </row>
    <row r="159" spans="1:7" ht="15">
      <c r="A159" s="20"/>
      <c r="B159" s="2" t="s">
        <v>16</v>
      </c>
      <c r="C159" s="37"/>
      <c r="D159" s="11"/>
      <c r="E159" s="24"/>
      <c r="F159" s="13"/>
      <c r="G159" s="16"/>
    </row>
    <row r="160" spans="1:6" ht="15">
      <c r="A160" s="20"/>
      <c r="B160" s="2" t="s">
        <v>17</v>
      </c>
      <c r="C160" s="37"/>
      <c r="D160" s="11"/>
      <c r="E160" s="24"/>
      <c r="F160" s="13"/>
    </row>
    <row r="161" spans="1:6" ht="15">
      <c r="A161" s="20"/>
      <c r="B161" s="2" t="s">
        <v>18</v>
      </c>
      <c r="C161" s="37"/>
      <c r="D161" s="11"/>
      <c r="E161" s="11"/>
      <c r="F161" s="13"/>
    </row>
    <row r="162" spans="1:6" ht="15">
      <c r="A162" s="20"/>
      <c r="B162" s="21" t="s">
        <v>19</v>
      </c>
      <c r="C162" s="59"/>
      <c r="D162" s="11"/>
      <c r="E162" s="24"/>
      <c r="F162" s="13"/>
    </row>
    <row r="163" spans="1:6" ht="15">
      <c r="A163" s="20"/>
      <c r="B163" s="2" t="s">
        <v>20</v>
      </c>
      <c r="C163" s="37"/>
      <c r="D163" s="11"/>
      <c r="E163" s="24"/>
      <c r="F163" s="13"/>
    </row>
    <row r="164" spans="1:6" ht="15">
      <c r="A164" s="20"/>
      <c r="B164" s="2" t="s">
        <v>21</v>
      </c>
      <c r="C164" s="37"/>
      <c r="D164" s="11"/>
      <c r="E164" s="24"/>
      <c r="F164" s="13"/>
    </row>
    <row r="165" spans="1:6" ht="15">
      <c r="A165" s="20"/>
      <c r="B165" s="2" t="s">
        <v>22</v>
      </c>
      <c r="C165" s="37"/>
      <c r="D165" s="11"/>
      <c r="E165" s="24"/>
      <c r="F165" s="13"/>
    </row>
    <row r="166" spans="1:6" ht="15">
      <c r="A166" s="20"/>
      <c r="B166" s="2" t="s">
        <v>23</v>
      </c>
      <c r="C166" s="37"/>
      <c r="D166" s="11"/>
      <c r="E166" s="24"/>
      <c r="F166" s="13"/>
    </row>
    <row r="167" spans="1:6" ht="15">
      <c r="A167" s="17" t="s">
        <v>68</v>
      </c>
      <c r="B167" s="18" t="s">
        <v>69</v>
      </c>
      <c r="C167" s="39"/>
      <c r="D167" s="39">
        <v>60000</v>
      </c>
      <c r="E167" s="39">
        <f>SUM(E168:E180)</f>
        <v>0</v>
      </c>
      <c r="F167" s="39">
        <f>D167-E167</f>
        <v>60000</v>
      </c>
    </row>
    <row r="168" spans="1:6" ht="15">
      <c r="A168" s="20"/>
      <c r="B168" s="21" t="s">
        <v>13</v>
      </c>
      <c r="C168" s="59"/>
      <c r="D168" s="35"/>
      <c r="E168" s="35"/>
      <c r="F168" s="37"/>
    </row>
    <row r="169" spans="1:6" ht="15">
      <c r="A169" s="20"/>
      <c r="B169" s="2" t="s">
        <v>14</v>
      </c>
      <c r="C169" s="37"/>
      <c r="D169" s="35"/>
      <c r="E169" s="35"/>
      <c r="F169" s="37"/>
    </row>
    <row r="170" spans="1:6" ht="15">
      <c r="A170" s="20"/>
      <c r="B170" s="2" t="s">
        <v>15</v>
      </c>
      <c r="C170" s="37"/>
      <c r="D170" s="35"/>
      <c r="E170" s="35"/>
      <c r="F170" s="37"/>
    </row>
    <row r="171" spans="1:6" ht="15">
      <c r="A171" s="20"/>
      <c r="B171" s="2" t="s">
        <v>16</v>
      </c>
      <c r="C171" s="37"/>
      <c r="D171" s="35"/>
      <c r="E171" s="35"/>
      <c r="F171" s="37"/>
    </row>
    <row r="172" spans="1:6" ht="15">
      <c r="A172" s="20"/>
      <c r="B172" s="2" t="s">
        <v>17</v>
      </c>
      <c r="C172" s="37"/>
      <c r="D172" s="35"/>
      <c r="E172" s="35"/>
      <c r="F172" s="37"/>
    </row>
    <row r="173" spans="1:6" ht="15">
      <c r="A173" s="20"/>
      <c r="B173" s="2" t="s">
        <v>18</v>
      </c>
      <c r="C173" s="37"/>
      <c r="D173" s="35"/>
      <c r="E173" s="35"/>
      <c r="F173" s="37"/>
    </row>
    <row r="174" spans="1:6" ht="15">
      <c r="A174" s="20"/>
      <c r="B174" s="21" t="s">
        <v>19</v>
      </c>
      <c r="C174" s="59"/>
      <c r="D174" s="35"/>
      <c r="E174" s="35"/>
      <c r="F174" s="37"/>
    </row>
    <row r="175" spans="1:6" ht="15">
      <c r="A175" s="20"/>
      <c r="B175" s="2" t="s">
        <v>20</v>
      </c>
      <c r="C175" s="37"/>
      <c r="D175" s="35"/>
      <c r="E175" s="35"/>
      <c r="F175" s="37"/>
    </row>
    <row r="176" spans="1:6" ht="15">
      <c r="A176" s="20"/>
      <c r="B176" s="2" t="s">
        <v>21</v>
      </c>
      <c r="C176" s="37"/>
      <c r="D176" s="35"/>
      <c r="E176" s="35"/>
      <c r="F176" s="37"/>
    </row>
    <row r="177" spans="1:6" ht="15">
      <c r="A177" s="20"/>
      <c r="B177" s="2" t="s">
        <v>22</v>
      </c>
      <c r="C177" s="37"/>
      <c r="D177" s="35"/>
      <c r="E177" s="35"/>
      <c r="F177" s="37"/>
    </row>
    <row r="178" spans="1:6" ht="15">
      <c r="A178" s="20"/>
      <c r="B178" s="2" t="s">
        <v>23</v>
      </c>
      <c r="C178" s="37"/>
      <c r="D178" s="35"/>
      <c r="E178" s="35"/>
      <c r="F178" s="37"/>
    </row>
    <row r="179" spans="1:6" ht="15">
      <c r="A179" s="20"/>
      <c r="B179" s="2" t="s">
        <v>30</v>
      </c>
      <c r="C179" s="37"/>
      <c r="D179" s="35"/>
      <c r="E179" s="35"/>
      <c r="F179" s="37"/>
    </row>
    <row r="180" spans="1:6" ht="15.75">
      <c r="A180" s="20"/>
      <c r="B180" s="10"/>
      <c r="C180" s="37"/>
      <c r="D180" s="11"/>
      <c r="E180" s="11"/>
      <c r="F180" s="13"/>
    </row>
    <row r="181" spans="1:6" ht="15.75">
      <c r="A181" s="20" t="s">
        <v>70</v>
      </c>
      <c r="B181" s="10" t="s">
        <v>71</v>
      </c>
      <c r="C181" s="61"/>
      <c r="D181" s="11"/>
      <c r="E181" s="11"/>
      <c r="F181" s="13"/>
    </row>
    <row r="182" spans="1:6" ht="15">
      <c r="A182" s="25" t="s">
        <v>72</v>
      </c>
      <c r="B182" s="18" t="s">
        <v>73</v>
      </c>
      <c r="C182" s="39"/>
      <c r="D182" s="39">
        <f>SUM(D183:D189)</f>
        <v>684565</v>
      </c>
      <c r="E182" s="39">
        <f>SUM(E183:E189)</f>
        <v>105000</v>
      </c>
      <c r="F182" s="39">
        <f>D182-E182</f>
        <v>579565</v>
      </c>
    </row>
    <row r="183" spans="1:6" ht="30">
      <c r="A183" s="20"/>
      <c r="B183" s="14" t="s">
        <v>100</v>
      </c>
      <c r="C183" s="62"/>
      <c r="D183" s="35">
        <v>531565</v>
      </c>
      <c r="E183" s="35">
        <v>105000</v>
      </c>
      <c r="F183" s="48" t="s">
        <v>152</v>
      </c>
    </row>
    <row r="184" spans="1:7" ht="60">
      <c r="A184" s="20"/>
      <c r="B184" s="47" t="s">
        <v>101</v>
      </c>
      <c r="C184" s="37"/>
      <c r="D184" s="35">
        <v>22200</v>
      </c>
      <c r="E184" s="35"/>
      <c r="F184" s="48" t="s">
        <v>145</v>
      </c>
      <c r="G184" s="16"/>
    </row>
    <row r="185" spans="1:9" ht="45">
      <c r="A185" s="20"/>
      <c r="B185" s="47" t="s">
        <v>102</v>
      </c>
      <c r="C185" s="37"/>
      <c r="D185" s="35">
        <v>50400</v>
      </c>
      <c r="E185" s="35"/>
      <c r="F185" s="48" t="s">
        <v>146</v>
      </c>
      <c r="G185" s="16"/>
      <c r="I185" s="16"/>
    </row>
    <row r="186" spans="1:7" ht="60">
      <c r="A186" s="20"/>
      <c r="B186" s="14" t="s">
        <v>103</v>
      </c>
      <c r="C186" s="62"/>
      <c r="D186" s="35">
        <v>6000</v>
      </c>
      <c r="E186" s="49"/>
      <c r="F186" s="48" t="s">
        <v>139</v>
      </c>
      <c r="G186" s="16"/>
    </row>
    <row r="187" spans="1:7" ht="30">
      <c r="A187" s="20"/>
      <c r="B187" s="14" t="s">
        <v>104</v>
      </c>
      <c r="C187" s="62"/>
      <c r="D187" s="35">
        <v>68400</v>
      </c>
      <c r="E187" s="49"/>
      <c r="F187" s="48"/>
      <c r="G187" s="16"/>
    </row>
    <row r="188" spans="1:6" ht="30">
      <c r="A188" s="20"/>
      <c r="B188" s="14" t="s">
        <v>74</v>
      </c>
      <c r="C188" s="62"/>
      <c r="D188" s="35">
        <v>6000</v>
      </c>
      <c r="E188" s="49"/>
      <c r="F188" s="37"/>
    </row>
    <row r="189" spans="1:7" ht="15">
      <c r="A189" s="20"/>
      <c r="B189" s="14"/>
      <c r="C189" s="62"/>
      <c r="D189" s="35"/>
      <c r="E189" s="49"/>
      <c r="F189" s="37"/>
      <c r="G189" s="16"/>
    </row>
    <row r="190" spans="1:6" ht="15">
      <c r="A190" s="25" t="s">
        <v>75</v>
      </c>
      <c r="B190" s="22" t="s">
        <v>76</v>
      </c>
      <c r="C190" s="60"/>
      <c r="D190" s="39">
        <f>SUM(D191:D193)</f>
        <v>20640</v>
      </c>
      <c r="E190" s="39">
        <f>SUM(E191:E195)</f>
        <v>8848.39</v>
      </c>
      <c r="F190" s="39">
        <f>D190-E190</f>
        <v>11791.61</v>
      </c>
    </row>
    <row r="191" spans="1:7" ht="45">
      <c r="A191" s="20"/>
      <c r="B191" s="14" t="s">
        <v>77</v>
      </c>
      <c r="C191" s="62"/>
      <c r="D191" s="50">
        <v>2400</v>
      </c>
      <c r="E191" s="51"/>
      <c r="F191" s="13"/>
      <c r="G191" s="16"/>
    </row>
    <row r="192" spans="1:7" ht="45">
      <c r="A192" s="20"/>
      <c r="B192" s="14" t="s">
        <v>78</v>
      </c>
      <c r="C192" s="62"/>
      <c r="D192" s="50">
        <v>16200</v>
      </c>
      <c r="E192" s="51"/>
      <c r="F192" s="13" t="s">
        <v>137</v>
      </c>
      <c r="G192" s="16"/>
    </row>
    <row r="193" spans="1:7" ht="30">
      <c r="A193" s="20"/>
      <c r="B193" s="14" t="s">
        <v>79</v>
      </c>
      <c r="C193" s="62"/>
      <c r="D193" s="50">
        <v>2040</v>
      </c>
      <c r="E193" s="51"/>
      <c r="F193" s="13" t="s">
        <v>140</v>
      </c>
      <c r="G193" s="16"/>
    </row>
    <row r="194" spans="1:7" ht="30">
      <c r="A194" s="20"/>
      <c r="B194" s="14" t="s">
        <v>105</v>
      </c>
      <c r="C194" s="62"/>
      <c r="D194" s="50">
        <v>4320</v>
      </c>
      <c r="E194" s="51">
        <v>8848.39</v>
      </c>
      <c r="F194" s="13"/>
      <c r="G194" s="16"/>
    </row>
    <row r="195" spans="1:7" ht="30">
      <c r="A195" s="20"/>
      <c r="B195" s="14" t="s">
        <v>106</v>
      </c>
      <c r="C195" s="62"/>
      <c r="D195" s="50">
        <v>5400</v>
      </c>
      <c r="E195" s="51"/>
      <c r="F195" s="13"/>
      <c r="G195" s="16"/>
    </row>
    <row r="196" spans="1:6" ht="15">
      <c r="A196" s="25" t="s">
        <v>80</v>
      </c>
      <c r="B196" s="22" t="s">
        <v>81</v>
      </c>
      <c r="C196" s="60"/>
      <c r="D196" s="52">
        <f>SUM(D197:D203)</f>
        <v>125280</v>
      </c>
      <c r="E196" s="52">
        <f>SUM(E197:E203)</f>
        <v>24073.6</v>
      </c>
      <c r="F196" s="19">
        <f aca="true" t="shared" si="0" ref="F196:F216">D196-E196</f>
        <v>101206.4</v>
      </c>
    </row>
    <row r="197" spans="1:9" ht="15">
      <c r="A197" s="20"/>
      <c r="B197" s="14" t="s">
        <v>107</v>
      </c>
      <c r="C197" s="62"/>
      <c r="D197" s="50">
        <v>45840</v>
      </c>
      <c r="E197" s="51"/>
      <c r="F197" s="13">
        <f t="shared" si="0"/>
        <v>45840</v>
      </c>
      <c r="G197" s="16"/>
      <c r="I197" s="16"/>
    </row>
    <row r="198" spans="1:7" ht="15">
      <c r="A198" s="20"/>
      <c r="B198" s="14" t="s">
        <v>82</v>
      </c>
      <c r="C198" s="62"/>
      <c r="D198" s="50">
        <v>38400</v>
      </c>
      <c r="E198" s="51"/>
      <c r="F198" s="13">
        <f t="shared" si="0"/>
        <v>38400</v>
      </c>
      <c r="G198" s="16"/>
    </row>
    <row r="199" spans="1:6" ht="30">
      <c r="A199" s="20"/>
      <c r="B199" s="14" t="s">
        <v>83</v>
      </c>
      <c r="C199" s="62"/>
      <c r="D199" s="50">
        <v>6000</v>
      </c>
      <c r="E199" s="51"/>
      <c r="F199" s="13">
        <f t="shared" si="0"/>
        <v>6000</v>
      </c>
    </row>
    <row r="200" spans="1:6" ht="30">
      <c r="A200" s="20"/>
      <c r="B200" s="14" t="s">
        <v>84</v>
      </c>
      <c r="C200" s="62"/>
      <c r="D200" s="50">
        <v>2040</v>
      </c>
      <c r="E200" s="51"/>
      <c r="F200" s="13">
        <f t="shared" si="0"/>
        <v>2040</v>
      </c>
    </row>
    <row r="201" spans="1:9" ht="15">
      <c r="A201" s="20"/>
      <c r="B201" s="14" t="s">
        <v>108</v>
      </c>
      <c r="C201" s="62"/>
      <c r="D201" s="50">
        <v>20400</v>
      </c>
      <c r="E201" s="51">
        <f>22138+1034</f>
        <v>23172</v>
      </c>
      <c r="F201" s="13">
        <f t="shared" si="0"/>
        <v>-2772</v>
      </c>
      <c r="G201" s="28"/>
      <c r="I201" s="16"/>
    </row>
    <row r="202" spans="1:7" ht="30">
      <c r="A202" s="20"/>
      <c r="B202" s="14" t="s">
        <v>85</v>
      </c>
      <c r="C202" s="62"/>
      <c r="D202" s="50">
        <v>9000</v>
      </c>
      <c r="E202" s="51">
        <v>901.6</v>
      </c>
      <c r="F202" s="13">
        <f t="shared" si="0"/>
        <v>8098.4</v>
      </c>
      <c r="G202" s="16"/>
    </row>
    <row r="203" spans="1:7" ht="15">
      <c r="A203" s="20"/>
      <c r="B203" s="14" t="s">
        <v>109</v>
      </c>
      <c r="C203" s="62"/>
      <c r="D203" s="50">
        <v>3600</v>
      </c>
      <c r="E203" s="51"/>
      <c r="F203" s="13">
        <f t="shared" si="0"/>
        <v>3600</v>
      </c>
      <c r="G203" s="16"/>
    </row>
    <row r="204" spans="1:6" ht="15">
      <c r="A204" s="25" t="s">
        <v>86</v>
      </c>
      <c r="B204" s="22" t="s">
        <v>87</v>
      </c>
      <c r="C204" s="60"/>
      <c r="D204" s="52">
        <f>SUM(D205:D214)</f>
        <v>89880</v>
      </c>
      <c r="E204" s="52">
        <f>SUM(E205:E214)</f>
        <v>3800</v>
      </c>
      <c r="F204" s="19">
        <f t="shared" si="0"/>
        <v>86080</v>
      </c>
    </row>
    <row r="205" spans="1:12" ht="45">
      <c r="A205" s="20"/>
      <c r="B205" s="14" t="s">
        <v>110</v>
      </c>
      <c r="C205" s="62"/>
      <c r="D205" s="50">
        <v>60000</v>
      </c>
      <c r="E205" s="53"/>
      <c r="F205" s="13"/>
      <c r="I205" s="16"/>
      <c r="L205" s="16"/>
    </row>
    <row r="206" spans="1:10" ht="30">
      <c r="A206" s="20"/>
      <c r="B206" s="14" t="s">
        <v>111</v>
      </c>
      <c r="C206" s="62"/>
      <c r="D206" s="50">
        <v>7200</v>
      </c>
      <c r="E206" s="51"/>
      <c r="F206" s="13"/>
      <c r="G206" s="16"/>
      <c r="H206" s="16"/>
      <c r="J206" s="16"/>
    </row>
    <row r="207" spans="1:10" ht="15">
      <c r="A207" s="20"/>
      <c r="B207" s="14" t="s">
        <v>112</v>
      </c>
      <c r="C207" s="62"/>
      <c r="D207" s="50">
        <v>6000</v>
      </c>
      <c r="E207" s="51">
        <v>3800</v>
      </c>
      <c r="F207" s="13"/>
      <c r="H207" s="16"/>
      <c r="J207" s="16"/>
    </row>
    <row r="208" spans="1:10" ht="15">
      <c r="A208" s="20"/>
      <c r="B208" s="14" t="s">
        <v>113</v>
      </c>
      <c r="C208" s="62"/>
      <c r="D208" s="50">
        <v>1800</v>
      </c>
      <c r="E208" s="51"/>
      <c r="F208" s="13"/>
      <c r="G208" s="16"/>
      <c r="J208" s="16"/>
    </row>
    <row r="209" spans="1:6" ht="15">
      <c r="A209" s="20"/>
      <c r="B209" s="14" t="s">
        <v>88</v>
      </c>
      <c r="C209" s="62"/>
      <c r="D209" s="50">
        <v>4200</v>
      </c>
      <c r="E209" s="51"/>
      <c r="F209" s="13"/>
    </row>
    <row r="210" spans="1:7" ht="60">
      <c r="A210" s="20"/>
      <c r="B210" s="14" t="s">
        <v>114</v>
      </c>
      <c r="C210" s="62"/>
      <c r="D210" s="50">
        <v>3600</v>
      </c>
      <c r="E210" s="51"/>
      <c r="F210" s="13"/>
      <c r="G210" s="16"/>
    </row>
    <row r="211" spans="1:8" ht="15">
      <c r="A211" s="20"/>
      <c r="B211" s="14" t="s">
        <v>115</v>
      </c>
      <c r="C211" s="62"/>
      <c r="D211" s="50">
        <v>3000</v>
      </c>
      <c r="E211" s="51"/>
      <c r="F211" s="13"/>
      <c r="H211" s="16"/>
    </row>
    <row r="212" spans="1:6" ht="45">
      <c r="A212" s="20"/>
      <c r="B212" s="14" t="s">
        <v>119</v>
      </c>
      <c r="C212" s="62"/>
      <c r="D212" s="50">
        <v>2640</v>
      </c>
      <c r="E212" s="51"/>
      <c r="F212" s="27" t="s">
        <v>142</v>
      </c>
    </row>
    <row r="213" spans="1:6" ht="15">
      <c r="A213" s="20"/>
      <c r="B213" s="14" t="s">
        <v>89</v>
      </c>
      <c r="C213" s="62"/>
      <c r="D213" s="50">
        <v>960</v>
      </c>
      <c r="E213" s="51"/>
      <c r="F213" s="13" t="s">
        <v>138</v>
      </c>
    </row>
    <row r="214" spans="1:6" ht="15">
      <c r="A214" s="20"/>
      <c r="B214" s="14" t="s">
        <v>90</v>
      </c>
      <c r="C214" s="62"/>
      <c r="D214" s="50">
        <v>480</v>
      </c>
      <c r="E214" s="51"/>
      <c r="F214" s="13"/>
    </row>
    <row r="215" spans="1:6" ht="26.25">
      <c r="A215" s="25" t="s">
        <v>91</v>
      </c>
      <c r="B215" s="22" t="s">
        <v>116</v>
      </c>
      <c r="C215" s="60"/>
      <c r="D215" s="52">
        <v>12000</v>
      </c>
      <c r="E215" s="52">
        <v>1724</v>
      </c>
      <c r="F215" s="19">
        <f t="shared" si="0"/>
        <v>10276</v>
      </c>
    </row>
    <row r="216" spans="1:6" ht="15">
      <c r="A216" s="25" t="s">
        <v>92</v>
      </c>
      <c r="B216" s="22" t="s">
        <v>93</v>
      </c>
      <c r="C216" s="60"/>
      <c r="D216" s="52">
        <v>75840</v>
      </c>
      <c r="E216" s="52">
        <f>SUM(E217:E230)</f>
        <v>62950.47</v>
      </c>
      <c r="F216" s="19">
        <f t="shared" si="0"/>
        <v>12889.529999999999</v>
      </c>
    </row>
    <row r="217" spans="1:6" ht="15">
      <c r="A217" s="2"/>
      <c r="B217" s="2" t="s">
        <v>120</v>
      </c>
      <c r="C217" s="37"/>
      <c r="D217" s="50"/>
      <c r="E217" s="50"/>
      <c r="F217" s="2"/>
    </row>
    <row r="218" spans="1:6" ht="15">
      <c r="A218" s="2"/>
      <c r="B218" s="2" t="s">
        <v>127</v>
      </c>
      <c r="C218" s="37"/>
      <c r="D218" s="50"/>
      <c r="E218" s="53"/>
      <c r="F218" s="2"/>
    </row>
    <row r="219" spans="1:6" ht="15">
      <c r="A219" s="2"/>
      <c r="B219" s="2" t="s">
        <v>128</v>
      </c>
      <c r="C219" s="37"/>
      <c r="D219" s="50"/>
      <c r="E219" s="53">
        <v>30000</v>
      </c>
      <c r="F219" s="2"/>
    </row>
    <row r="220" spans="1:6" ht="15">
      <c r="A220" s="2"/>
      <c r="B220" s="2" t="s">
        <v>129</v>
      </c>
      <c r="C220" s="37"/>
      <c r="D220" s="50"/>
      <c r="E220" s="53">
        <v>4500</v>
      </c>
      <c r="F220" s="2"/>
    </row>
    <row r="221" spans="1:6" ht="15">
      <c r="A221" s="2"/>
      <c r="B221" s="2" t="s">
        <v>156</v>
      </c>
      <c r="C221" s="37"/>
      <c r="D221" s="50"/>
      <c r="E221" s="53"/>
      <c r="F221" s="2"/>
    </row>
    <row r="222" spans="1:6" ht="15">
      <c r="A222" s="2"/>
      <c r="B222" s="2" t="s">
        <v>149</v>
      </c>
      <c r="C222" s="37"/>
      <c r="D222" s="50"/>
      <c r="E222" s="53"/>
      <c r="F222" s="2"/>
    </row>
    <row r="223" spans="1:6" ht="15">
      <c r="A223" s="2"/>
      <c r="B223" s="2"/>
      <c r="C223" s="37"/>
      <c r="D223" s="50"/>
      <c r="E223" s="50">
        <v>450.43</v>
      </c>
      <c r="F223" s="2"/>
    </row>
    <row r="224" spans="1:6" ht="13.5" customHeight="1">
      <c r="A224" s="2"/>
      <c r="B224" s="2" t="s">
        <v>207</v>
      </c>
      <c r="C224" s="37"/>
      <c r="D224" s="50"/>
      <c r="E224" s="50">
        <v>28000.04</v>
      </c>
      <c r="F224" s="2"/>
    </row>
    <row r="225" spans="1:6" ht="15">
      <c r="A225" s="2"/>
      <c r="B225" s="2"/>
      <c r="C225" s="37"/>
      <c r="D225" s="50"/>
      <c r="E225" s="53"/>
      <c r="F225" s="2"/>
    </row>
    <row r="226" spans="1:6" ht="15">
      <c r="A226" s="2"/>
      <c r="B226" s="2"/>
      <c r="C226" s="37"/>
      <c r="D226" s="50"/>
      <c r="E226" s="53"/>
      <c r="F226" s="2"/>
    </row>
    <row r="227" spans="1:6" ht="15">
      <c r="A227" s="2"/>
      <c r="B227" s="2"/>
      <c r="C227" s="37"/>
      <c r="D227" s="50"/>
      <c r="E227" s="53"/>
      <c r="F227" s="2"/>
    </row>
    <row r="228" spans="1:6" ht="15">
      <c r="A228" s="2"/>
      <c r="B228" s="2"/>
      <c r="C228" s="37"/>
      <c r="D228" s="50"/>
      <c r="E228" s="53"/>
      <c r="F228" s="2"/>
    </row>
    <row r="229" spans="1:6" ht="15">
      <c r="A229" s="2"/>
      <c r="B229" s="2"/>
      <c r="C229" s="37"/>
      <c r="D229" s="50"/>
      <c r="E229" s="54"/>
      <c r="F229" s="2"/>
    </row>
    <row r="230" spans="1:6" ht="15">
      <c r="A230" s="2"/>
      <c r="B230" s="2"/>
      <c r="C230" s="37"/>
      <c r="D230" s="50"/>
      <c r="E230" s="54"/>
      <c r="F230" s="2"/>
    </row>
    <row r="231" spans="1:6" ht="15">
      <c r="A231" s="4"/>
      <c r="B231" s="4" t="s">
        <v>94</v>
      </c>
      <c r="C231" s="32"/>
      <c r="D231" s="55"/>
      <c r="E231" s="55">
        <f>E216+E215+E204+E196+E190+E182+E155+E154+E153+E140+E127+E115+E84+E71+E68+E55+E42+E29+E16</f>
        <v>840989.3700000001</v>
      </c>
      <c r="F231" s="4"/>
    </row>
    <row r="232" spans="1:6" ht="18">
      <c r="A232" s="2"/>
      <c r="B232" s="29" t="s">
        <v>9</v>
      </c>
      <c r="C232" s="37"/>
      <c r="D232" s="56"/>
      <c r="E232" s="57">
        <f>SUM(E231:E231)</f>
        <v>840989.3700000001</v>
      </c>
      <c r="F232" s="2"/>
    </row>
    <row r="233" ht="15">
      <c r="F233" s="30"/>
    </row>
    <row r="234" spans="2:6" ht="15">
      <c r="B234" t="s">
        <v>95</v>
      </c>
      <c r="F234">
        <v>8035.8</v>
      </c>
    </row>
    <row r="235" ht="15">
      <c r="F235" s="30"/>
    </row>
    <row r="236" ht="15">
      <c r="F236" s="30"/>
    </row>
    <row r="237" spans="2:6" ht="15">
      <c r="B237" t="s">
        <v>96</v>
      </c>
      <c r="F237" s="30" t="s">
        <v>130</v>
      </c>
    </row>
    <row r="238" ht="15">
      <c r="F238" s="30"/>
    </row>
    <row r="239" spans="5:6" ht="15">
      <c r="E239" s="64"/>
      <c r="F239" s="74">
        <f>E4-E231</f>
        <v>-2000.2500000001164</v>
      </c>
    </row>
    <row r="240" spans="5:6" ht="15">
      <c r="E240" s="64"/>
      <c r="F240" s="30"/>
    </row>
    <row r="241" ht="15">
      <c r="F241" s="30"/>
    </row>
    <row r="242" ht="15">
      <c r="F242" s="30"/>
    </row>
    <row r="243" ht="15">
      <c r="F243" s="30"/>
    </row>
    <row r="244" ht="15"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</sheetData>
  <sheetProtection/>
  <mergeCells count="3">
    <mergeCell ref="A1:F1"/>
    <mergeCell ref="A2:B2"/>
    <mergeCell ref="D2:F2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pane xSplit="3045" topLeftCell="O1" activePane="topRight" state="split"/>
      <selection pane="topLeft" activeCell="P3" sqref="P3"/>
      <selection pane="topRight" activeCell="P30" sqref="P30:T30"/>
    </sheetView>
  </sheetViews>
  <sheetFormatPr defaultColWidth="9.140625" defaultRowHeight="15"/>
  <cols>
    <col min="1" max="1" width="26.00390625" style="0" customWidth="1"/>
  </cols>
  <sheetData>
    <row r="1" spans="1:31" ht="15">
      <c r="A1" s="88" t="s">
        <v>161</v>
      </c>
      <c r="B1" s="187" t="s">
        <v>20</v>
      </c>
      <c r="C1" s="188"/>
      <c r="D1" s="189"/>
      <c r="E1" s="190" t="s">
        <v>21</v>
      </c>
      <c r="F1" s="191"/>
      <c r="G1" s="192"/>
      <c r="H1" s="183" t="s">
        <v>22</v>
      </c>
      <c r="I1" s="184"/>
      <c r="J1" s="184"/>
      <c r="K1" s="193"/>
      <c r="L1" s="194" t="s">
        <v>23</v>
      </c>
      <c r="M1" s="195"/>
      <c r="N1" s="195"/>
      <c r="O1" s="196"/>
      <c r="P1" s="200" t="s">
        <v>30</v>
      </c>
      <c r="Q1" s="201"/>
      <c r="R1" s="201"/>
      <c r="S1" s="201"/>
      <c r="T1" s="202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15">
      <c r="A2" s="89" t="s">
        <v>162</v>
      </c>
      <c r="B2" s="93">
        <f>158.85</f>
        <v>158.85</v>
      </c>
      <c r="C2" s="93">
        <f>100</f>
        <v>100</v>
      </c>
      <c r="D2" s="93">
        <f>81+253.09</f>
        <v>334.09000000000003</v>
      </c>
      <c r="E2" s="94">
        <v>295</v>
      </c>
      <c r="F2" s="94">
        <v>113.3</v>
      </c>
      <c r="G2" s="94">
        <v>87</v>
      </c>
      <c r="H2" s="86">
        <f>100+200</f>
        <v>300</v>
      </c>
      <c r="I2" s="86"/>
      <c r="J2" s="86"/>
      <c r="K2" s="86"/>
      <c r="L2" s="77">
        <v>63</v>
      </c>
      <c r="M2" s="77">
        <v>102.5</v>
      </c>
      <c r="N2" s="77">
        <f>275.4+145+70</f>
        <v>490.4</v>
      </c>
      <c r="O2" s="77">
        <v>52</v>
      </c>
      <c r="P2" s="79">
        <f>650+735</f>
        <v>1385</v>
      </c>
      <c r="Q2" s="79">
        <f>237.3+20.9</f>
        <v>258.2</v>
      </c>
      <c r="R2" s="79"/>
      <c r="S2" s="79"/>
      <c r="T2" s="79"/>
      <c r="U2" s="76">
        <f>SUM(B2:T2)</f>
        <v>3739.3399999999997</v>
      </c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5">
      <c r="A3" s="89"/>
      <c r="B3" s="93" t="s">
        <v>175</v>
      </c>
      <c r="C3" s="93" t="s">
        <v>176</v>
      </c>
      <c r="D3" s="93" t="s">
        <v>177</v>
      </c>
      <c r="E3" s="94" t="s">
        <v>180</v>
      </c>
      <c r="F3" s="94" t="s">
        <v>183</v>
      </c>
      <c r="G3" s="94" t="s">
        <v>143</v>
      </c>
      <c r="H3" s="86" t="s">
        <v>176</v>
      </c>
      <c r="I3" s="86"/>
      <c r="J3" s="86"/>
      <c r="K3" s="86"/>
      <c r="L3" s="77" t="s">
        <v>196</v>
      </c>
      <c r="M3" s="77"/>
      <c r="N3" s="77" t="s">
        <v>202</v>
      </c>
      <c r="O3" s="77" t="s">
        <v>203</v>
      </c>
      <c r="P3" s="79" t="s">
        <v>205</v>
      </c>
      <c r="Q3" s="79" t="s">
        <v>206</v>
      </c>
      <c r="R3" s="79"/>
      <c r="S3" s="79"/>
      <c r="T3" s="79"/>
      <c r="U3" s="76">
        <f aca="true" t="shared" si="0" ref="U3:U29">SUM(B3:T3)</f>
        <v>0</v>
      </c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5">
      <c r="A4" s="89" t="s">
        <v>163</v>
      </c>
      <c r="B4" s="93">
        <v>100</v>
      </c>
      <c r="C4" s="93"/>
      <c r="D4" s="93"/>
      <c r="E4" s="94">
        <v>100</v>
      </c>
      <c r="F4" s="94"/>
      <c r="G4" s="94"/>
      <c r="H4" s="86">
        <f>200+50</f>
        <v>250</v>
      </c>
      <c r="I4" s="86">
        <v>100</v>
      </c>
      <c r="J4" s="86"/>
      <c r="K4" s="86"/>
      <c r="L4" s="77"/>
      <c r="M4" s="77"/>
      <c r="N4" s="77"/>
      <c r="O4" s="77"/>
      <c r="P4" s="79">
        <v>100</v>
      </c>
      <c r="Q4" s="79">
        <v>100</v>
      </c>
      <c r="R4" s="79"/>
      <c r="S4" s="79"/>
      <c r="T4" s="79"/>
      <c r="U4" s="76">
        <f t="shared" si="0"/>
        <v>750</v>
      </c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15">
      <c r="A5" s="89" t="s">
        <v>164</v>
      </c>
      <c r="B5" s="93">
        <v>91.3</v>
      </c>
      <c r="C5" s="93">
        <v>372</v>
      </c>
      <c r="D5" s="93">
        <v>210</v>
      </c>
      <c r="E5" s="94">
        <v>17.4</v>
      </c>
      <c r="F5" s="94"/>
      <c r="G5" s="94"/>
      <c r="H5" s="86">
        <v>182.2</v>
      </c>
      <c r="I5" s="86">
        <v>150</v>
      </c>
      <c r="J5" s="86">
        <v>32</v>
      </c>
      <c r="K5" s="86">
        <v>1030</v>
      </c>
      <c r="L5" s="77">
        <v>57</v>
      </c>
      <c r="M5" s="77"/>
      <c r="N5" s="77"/>
      <c r="O5" s="77"/>
      <c r="P5" s="79">
        <v>138.5</v>
      </c>
      <c r="Q5" s="79">
        <v>14.8</v>
      </c>
      <c r="R5" s="79"/>
      <c r="S5" s="79"/>
      <c r="T5" s="79"/>
      <c r="U5" s="76">
        <f t="shared" si="0"/>
        <v>2295.2</v>
      </c>
      <c r="V5" s="76"/>
      <c r="W5" s="76"/>
      <c r="X5" s="76"/>
      <c r="Y5" s="76"/>
      <c r="Z5" s="76"/>
      <c r="AA5" s="76"/>
      <c r="AB5" s="76"/>
      <c r="AC5" s="76"/>
      <c r="AD5" s="76"/>
      <c r="AE5" s="76"/>
    </row>
    <row r="6" spans="1:31" ht="15">
      <c r="A6" s="89"/>
      <c r="B6" s="93" t="s">
        <v>178</v>
      </c>
      <c r="C6" s="93" t="s">
        <v>61</v>
      </c>
      <c r="D6" s="93" t="s">
        <v>174</v>
      </c>
      <c r="E6" s="94" t="s">
        <v>179</v>
      </c>
      <c r="F6" s="94"/>
      <c r="G6" s="94"/>
      <c r="H6" s="86" t="s">
        <v>190</v>
      </c>
      <c r="I6" s="86" t="s">
        <v>186</v>
      </c>
      <c r="J6" s="86" t="s">
        <v>192</v>
      </c>
      <c r="K6" s="86" t="s">
        <v>193</v>
      </c>
      <c r="L6" s="77" t="s">
        <v>194</v>
      </c>
      <c r="M6" s="77"/>
      <c r="N6" s="77"/>
      <c r="O6" s="77"/>
      <c r="P6" s="79" t="s">
        <v>61</v>
      </c>
      <c r="Q6" s="79" t="s">
        <v>209</v>
      </c>
      <c r="R6" s="79"/>
      <c r="S6" s="79"/>
      <c r="T6" s="79"/>
      <c r="U6" s="76">
        <f t="shared" si="0"/>
        <v>0</v>
      </c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1" ht="15">
      <c r="A7" s="89" t="s">
        <v>173</v>
      </c>
      <c r="B7" s="93"/>
      <c r="C7" s="93"/>
      <c r="D7" s="93"/>
      <c r="E7" s="94"/>
      <c r="F7" s="94"/>
      <c r="G7" s="94"/>
      <c r="H7" s="86"/>
      <c r="I7" s="86"/>
      <c r="J7" s="86"/>
      <c r="K7" s="86"/>
      <c r="L7" s="77"/>
      <c r="M7" s="77"/>
      <c r="N7" s="77"/>
      <c r="O7" s="77"/>
      <c r="P7" s="79"/>
      <c r="Q7" s="79"/>
      <c r="R7" s="79"/>
      <c r="S7" s="79"/>
      <c r="T7" s="79"/>
      <c r="U7" s="76">
        <f t="shared" si="0"/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15">
      <c r="A8" s="89"/>
      <c r="B8" s="93"/>
      <c r="C8" s="93"/>
      <c r="D8" s="93"/>
      <c r="E8" s="94"/>
      <c r="F8" s="94"/>
      <c r="G8" s="94"/>
      <c r="H8" s="86"/>
      <c r="I8" s="86"/>
      <c r="J8" s="86"/>
      <c r="K8" s="86"/>
      <c r="L8" s="77"/>
      <c r="M8" s="77"/>
      <c r="N8" s="77"/>
      <c r="O8" s="77"/>
      <c r="P8" s="79"/>
      <c r="Q8" s="79"/>
      <c r="R8" s="79"/>
      <c r="S8" s="79"/>
      <c r="T8" s="79"/>
      <c r="U8" s="76">
        <f t="shared" si="0"/>
        <v>0</v>
      </c>
      <c r="V8" s="76"/>
      <c r="W8" s="76"/>
      <c r="X8" s="76"/>
      <c r="Y8" s="76"/>
      <c r="Z8" s="76"/>
      <c r="AA8" s="76"/>
      <c r="AB8" s="76"/>
      <c r="AC8" s="76"/>
      <c r="AD8" s="76"/>
      <c r="AE8" s="76"/>
    </row>
    <row r="9" spans="1:31" ht="15">
      <c r="A9" s="89" t="s">
        <v>165</v>
      </c>
      <c r="B9" s="93">
        <f>186.4+61.65</f>
        <v>248.05</v>
      </c>
      <c r="C9" s="93"/>
      <c r="D9" s="93"/>
      <c r="E9" s="94"/>
      <c r="F9" s="94"/>
      <c r="G9" s="94"/>
      <c r="H9" s="86"/>
      <c r="I9" s="86"/>
      <c r="J9" s="86"/>
      <c r="K9" s="86"/>
      <c r="L9" s="77"/>
      <c r="M9" s="77"/>
      <c r="N9" s="77"/>
      <c r="O9" s="77"/>
      <c r="P9" s="79">
        <f>108+12.5</f>
        <v>120.5</v>
      </c>
      <c r="Q9" s="79">
        <v>967</v>
      </c>
      <c r="R9" s="79"/>
      <c r="S9" s="79"/>
      <c r="T9" s="79"/>
      <c r="U9" s="76">
        <f t="shared" si="0"/>
        <v>1335.55</v>
      </c>
      <c r="V9" s="76"/>
      <c r="W9" s="76"/>
      <c r="X9" s="76"/>
      <c r="Y9" s="76"/>
      <c r="Z9" s="76"/>
      <c r="AA9" s="76"/>
      <c r="AB9" s="76"/>
      <c r="AC9" s="76"/>
      <c r="AD9" s="76"/>
      <c r="AE9" s="76"/>
    </row>
    <row r="10" spans="1:31" ht="105" customHeight="1">
      <c r="A10" s="90" t="s">
        <v>101</v>
      </c>
      <c r="B10" s="76"/>
      <c r="C10" s="76"/>
      <c r="D10" s="76"/>
      <c r="E10" s="76"/>
      <c r="F10" s="76"/>
      <c r="G10" s="76"/>
      <c r="H10" s="76">
        <v>804</v>
      </c>
      <c r="I10" s="76"/>
      <c r="J10" s="76"/>
      <c r="K10" s="76"/>
      <c r="L10" s="76"/>
      <c r="M10" s="76"/>
      <c r="N10" s="76"/>
      <c r="O10" s="76"/>
      <c r="P10" s="76">
        <v>394</v>
      </c>
      <c r="Q10" s="76"/>
      <c r="R10" s="76"/>
      <c r="S10" s="76"/>
      <c r="T10" s="76"/>
      <c r="U10" s="76">
        <f t="shared" si="0"/>
        <v>1198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ht="15">
      <c r="A11" s="90"/>
      <c r="B11" s="76"/>
      <c r="C11" s="76"/>
      <c r="D11" s="76"/>
      <c r="E11" s="76"/>
      <c r="F11" s="76"/>
      <c r="G11" s="76"/>
      <c r="H11" s="76" t="s">
        <v>191</v>
      </c>
      <c r="I11" s="76"/>
      <c r="J11" s="76"/>
      <c r="K11" s="76"/>
      <c r="L11" s="76"/>
      <c r="M11" s="76"/>
      <c r="N11" s="76"/>
      <c r="O11" s="76"/>
      <c r="P11" s="76" t="s">
        <v>208</v>
      </c>
      <c r="Q11" s="76"/>
      <c r="R11" s="76"/>
      <c r="S11" s="76"/>
      <c r="T11" s="76"/>
      <c r="U11" s="76">
        <f t="shared" si="0"/>
        <v>0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</row>
    <row r="12" spans="1:31" ht="63" customHeight="1">
      <c r="A12" s="90" t="s">
        <v>102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>
        <f t="shared" si="0"/>
        <v>0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ht="30" customHeight="1">
      <c r="A13" s="90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>
        <f t="shared" si="0"/>
        <v>0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ht="87.75" customHeight="1">
      <c r="A14" s="91" t="s">
        <v>103</v>
      </c>
      <c r="B14" s="76"/>
      <c r="C14" s="76"/>
      <c r="D14" s="76"/>
      <c r="E14" s="76">
        <f>271+336+31+19</f>
        <v>657</v>
      </c>
      <c r="F14" s="76"/>
      <c r="G14" s="76"/>
      <c r="H14" s="76">
        <v>104</v>
      </c>
      <c r="I14" s="76">
        <v>831.4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>
        <f t="shared" si="0"/>
        <v>1592.4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15">
      <c r="A15" s="91"/>
      <c r="B15" s="76"/>
      <c r="C15" s="76"/>
      <c r="D15" s="76"/>
      <c r="E15" s="76" t="s">
        <v>184</v>
      </c>
      <c r="F15" s="76"/>
      <c r="G15" s="76"/>
      <c r="H15" s="76" t="s">
        <v>188</v>
      </c>
      <c r="I15" s="76" t="s">
        <v>189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>
        <f t="shared" si="0"/>
        <v>0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</row>
    <row r="16" spans="1:31" ht="78" customHeight="1">
      <c r="A16" s="91" t="s">
        <v>78</v>
      </c>
      <c r="B16" s="76"/>
      <c r="C16" s="76"/>
      <c r="D16" s="76"/>
      <c r="E16" s="76">
        <v>724.8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>
        <f t="shared" si="0"/>
        <v>724.8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31" ht="15">
      <c r="A17" s="91"/>
      <c r="B17" s="76"/>
      <c r="C17" s="76"/>
      <c r="D17" s="76"/>
      <c r="E17" s="76" t="s">
        <v>166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>
        <f t="shared" si="0"/>
        <v>0</v>
      </c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1:31" ht="37.5" customHeight="1">
      <c r="A18" s="91" t="s">
        <v>79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>
        <f>153+434</f>
        <v>587</v>
      </c>
      <c r="M18" s="76">
        <v>828.6</v>
      </c>
      <c r="N18" s="76"/>
      <c r="O18" s="76"/>
      <c r="P18" s="76"/>
      <c r="Q18" s="76"/>
      <c r="R18" s="76"/>
      <c r="S18" s="76"/>
      <c r="T18" s="76"/>
      <c r="U18" s="76">
        <f t="shared" si="0"/>
        <v>1415.6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1:31" ht="15">
      <c r="A19" s="89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 t="s">
        <v>195</v>
      </c>
      <c r="M19" s="76" t="s">
        <v>201</v>
      </c>
      <c r="N19" s="76"/>
      <c r="O19" s="76"/>
      <c r="P19" s="76"/>
      <c r="Q19" s="76"/>
      <c r="R19" s="76"/>
      <c r="S19" s="76"/>
      <c r="T19" s="76"/>
      <c r="U19" s="76">
        <f t="shared" si="0"/>
        <v>0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1:31" ht="15">
      <c r="A20" s="89" t="s">
        <v>167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>
        <v>2.99</v>
      </c>
      <c r="M20" s="76">
        <v>386</v>
      </c>
      <c r="N20" s="76">
        <v>72</v>
      </c>
      <c r="O20" s="76">
        <v>271.43</v>
      </c>
      <c r="P20" s="76"/>
      <c r="Q20" s="76"/>
      <c r="R20" s="76"/>
      <c r="S20" s="76"/>
      <c r="T20" s="76"/>
      <c r="U20" s="76">
        <f t="shared" si="0"/>
        <v>732.4200000000001</v>
      </c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1:31" ht="15">
      <c r="A21" s="89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 t="s">
        <v>199</v>
      </c>
      <c r="M21" s="76" t="s">
        <v>200</v>
      </c>
      <c r="N21" s="76" t="s">
        <v>197</v>
      </c>
      <c r="O21" s="76" t="s">
        <v>204</v>
      </c>
      <c r="P21" s="76"/>
      <c r="Q21" s="76"/>
      <c r="R21" s="76"/>
      <c r="S21" s="76"/>
      <c r="T21" s="76"/>
      <c r="U21" s="76">
        <f t="shared" si="0"/>
        <v>0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81" customHeight="1">
      <c r="A22" s="92" t="s">
        <v>119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>
        <f t="shared" si="0"/>
        <v>0</v>
      </c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15">
      <c r="A23" s="8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>
        <f t="shared" si="0"/>
        <v>0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ht="51.75" customHeight="1">
      <c r="A24" s="92" t="s">
        <v>111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>
        <f t="shared" si="0"/>
        <v>0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1" ht="15">
      <c r="A25" s="89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>
        <f t="shared" si="0"/>
        <v>0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1" ht="15">
      <c r="A26" s="89" t="s">
        <v>168</v>
      </c>
      <c r="B26" s="76">
        <f>385.5+747</f>
        <v>1132.5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>
        <v>328</v>
      </c>
      <c r="S26" s="76"/>
      <c r="T26" s="76"/>
      <c r="U26" s="76">
        <f t="shared" si="0"/>
        <v>1460.5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ht="15">
      <c r="A27" s="80" t="s">
        <v>181</v>
      </c>
      <c r="B27" s="76"/>
      <c r="C27" s="76"/>
      <c r="D27" s="76"/>
      <c r="E27" s="76">
        <f>730+7250</f>
        <v>7980</v>
      </c>
      <c r="F27" s="76">
        <v>3000</v>
      </c>
      <c r="G27" s="76"/>
      <c r="H27" s="76">
        <v>750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>
        <f t="shared" si="0"/>
        <v>11730</v>
      </c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1" ht="15">
      <c r="A28" s="76"/>
      <c r="B28" s="76"/>
      <c r="C28" s="76"/>
      <c r="D28" s="76"/>
      <c r="E28" s="76" t="s">
        <v>182</v>
      </c>
      <c r="F28" s="76" t="s">
        <v>185</v>
      </c>
      <c r="G28" s="76"/>
      <c r="H28" s="76" t="s">
        <v>187</v>
      </c>
      <c r="I28" s="76"/>
      <c r="J28" s="76"/>
      <c r="K28" s="76"/>
      <c r="L28" s="76">
        <v>48</v>
      </c>
      <c r="M28" s="76"/>
      <c r="N28" s="76"/>
      <c r="O28" s="76"/>
      <c r="P28" s="76"/>
      <c r="Q28" s="76"/>
      <c r="R28" s="76"/>
      <c r="S28" s="76"/>
      <c r="T28" s="76"/>
      <c r="U28" s="76">
        <f t="shared" si="0"/>
        <v>48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45">
      <c r="A29" s="14" t="s">
        <v>111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 t="s">
        <v>198</v>
      </c>
      <c r="M29" s="76"/>
      <c r="N29" s="76"/>
      <c r="O29" s="76"/>
      <c r="P29" s="197" t="s">
        <v>30</v>
      </c>
      <c r="Q29" s="198"/>
      <c r="R29" s="198"/>
      <c r="S29" s="198"/>
      <c r="T29" s="199"/>
      <c r="U29" s="76">
        <f t="shared" si="0"/>
        <v>0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2:21" ht="15">
      <c r="B30" s="95">
        <f aca="true" t="shared" si="1" ref="B30:T30">SUM(B2:B29)</f>
        <v>1730.7</v>
      </c>
      <c r="C30" s="95">
        <f t="shared" si="1"/>
        <v>472</v>
      </c>
      <c r="D30" s="95">
        <f t="shared" si="1"/>
        <v>544.09</v>
      </c>
      <c r="E30" s="95">
        <f t="shared" si="1"/>
        <v>9774.2</v>
      </c>
      <c r="F30" s="95">
        <f t="shared" si="1"/>
        <v>3113.3</v>
      </c>
      <c r="G30" s="95">
        <f t="shared" si="1"/>
        <v>87</v>
      </c>
      <c r="H30" s="95">
        <f t="shared" si="1"/>
        <v>2390.2</v>
      </c>
      <c r="I30" s="95">
        <f t="shared" si="1"/>
        <v>1081.4</v>
      </c>
      <c r="J30" s="95">
        <f t="shared" si="1"/>
        <v>32</v>
      </c>
      <c r="K30" s="95">
        <f t="shared" si="1"/>
        <v>1030</v>
      </c>
      <c r="L30" s="95">
        <f t="shared" si="1"/>
        <v>757.99</v>
      </c>
      <c r="M30" s="95">
        <f t="shared" si="1"/>
        <v>1317.1</v>
      </c>
      <c r="N30" s="95">
        <f t="shared" si="1"/>
        <v>562.4</v>
      </c>
      <c r="O30" s="95">
        <f t="shared" si="1"/>
        <v>323.43</v>
      </c>
      <c r="P30" s="95">
        <f t="shared" si="1"/>
        <v>2138</v>
      </c>
      <c r="Q30" s="95">
        <f t="shared" si="1"/>
        <v>1340</v>
      </c>
      <c r="R30" s="95">
        <f t="shared" si="1"/>
        <v>328</v>
      </c>
      <c r="S30" s="95">
        <f t="shared" si="1"/>
        <v>0</v>
      </c>
      <c r="T30" s="95">
        <f t="shared" si="1"/>
        <v>0</v>
      </c>
      <c r="U30" s="95">
        <f>SUM(U2:U29)</f>
        <v>27021.809999999998</v>
      </c>
    </row>
    <row r="32" spans="2:21" ht="15">
      <c r="B32">
        <v>1730.7</v>
      </c>
      <c r="C32">
        <v>472</v>
      </c>
      <c r="D32">
        <v>544.09</v>
      </c>
      <c r="E32">
        <v>9774.2</v>
      </c>
      <c r="F32">
        <v>3113.3</v>
      </c>
      <c r="G32">
        <v>87</v>
      </c>
      <c r="H32">
        <v>2390.2</v>
      </c>
      <c r="I32">
        <v>1081.4</v>
      </c>
      <c r="J32">
        <v>32</v>
      </c>
      <c r="K32">
        <v>1030</v>
      </c>
      <c r="L32">
        <v>757.99</v>
      </c>
      <c r="M32">
        <v>1317.1</v>
      </c>
      <c r="N32">
        <v>562.4</v>
      </c>
      <c r="O32">
        <v>323.43</v>
      </c>
      <c r="P32">
        <v>1605.5</v>
      </c>
      <c r="Q32">
        <v>258.2</v>
      </c>
      <c r="R32">
        <v>0</v>
      </c>
      <c r="S32">
        <v>0</v>
      </c>
      <c r="T32">
        <v>0</v>
      </c>
      <c r="U32">
        <v>25079.51</v>
      </c>
    </row>
  </sheetData>
  <sheetProtection/>
  <mergeCells count="6">
    <mergeCell ref="B1:D1"/>
    <mergeCell ref="E1:G1"/>
    <mergeCell ref="H1:K1"/>
    <mergeCell ref="L1:O1"/>
    <mergeCell ref="P29:T29"/>
    <mergeCell ref="P1:T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2017-02-09T14:34:34Z</cp:lastPrinted>
  <dcterms:created xsi:type="dcterms:W3CDTF">2013-07-31T08:55:04Z</dcterms:created>
  <dcterms:modified xsi:type="dcterms:W3CDTF">2017-02-09T14:51:58Z</dcterms:modified>
  <cp:category/>
  <cp:version/>
  <cp:contentType/>
  <cp:contentStatus/>
</cp:coreProperties>
</file>